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candy\Desktop\CUENTAS PUBLICAS 2020\4TO TRIMETRE\DIGITALES\"/>
    </mc:Choice>
  </mc:AlternateContent>
  <workbookProtection lockStructure="1"/>
  <bookViews>
    <workbookView xWindow="0" yWindow="0" windowWidth="20490" windowHeight="7455" firstSheet="11" activeTab="1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</workbook>
</file>

<file path=xl/calcChain.xml><?xml version="1.0" encoding="utf-8"?>
<calcChain xmlns="http://schemas.openxmlformats.org/spreadsheetml/2006/main">
  <c r="D22" i="9" l="1"/>
  <c r="D10" i="9"/>
  <c r="G10" i="9" s="1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G18" i="8"/>
  <c r="D18" i="8"/>
  <c r="G17" i="8"/>
  <c r="D17" i="8"/>
  <c r="G16" i="8"/>
  <c r="D16" i="8"/>
  <c r="G15" i="8"/>
  <c r="D15" i="8"/>
  <c r="G14" i="8"/>
  <c r="D14" i="8"/>
  <c r="G13" i="8"/>
  <c r="D13" i="8"/>
  <c r="G12" i="8"/>
  <c r="D12" i="8"/>
  <c r="G11" i="8"/>
  <c r="D11" i="8"/>
  <c r="D20" i="7"/>
  <c r="G20" i="7" s="1"/>
  <c r="D11" i="7"/>
  <c r="G11" i="7" s="1"/>
  <c r="D10" i="7"/>
  <c r="G10" i="7" s="1"/>
  <c r="D134" i="6" l="1"/>
  <c r="G134" i="6" s="1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D114" i="6"/>
  <c r="G114" i="6" s="1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G104" i="6" s="1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G86" i="6" s="1"/>
  <c r="D82" i="6"/>
  <c r="D81" i="6"/>
  <c r="D80" i="6"/>
  <c r="D79" i="6"/>
  <c r="D78" i="6"/>
  <c r="D77" i="6"/>
  <c r="D76" i="6"/>
  <c r="D74" i="6"/>
  <c r="G74" i="6" s="1"/>
  <c r="D73" i="6"/>
  <c r="G73" i="6" s="1"/>
  <c r="D72" i="6"/>
  <c r="G72" i="6" s="1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D61" i="6"/>
  <c r="G61" i="6" s="1"/>
  <c r="D60" i="6"/>
  <c r="G60" i="6" s="1"/>
  <c r="D59" i="6"/>
  <c r="G59" i="6" s="1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F10" i="6"/>
  <c r="E10" i="6"/>
  <c r="D10" i="6"/>
  <c r="C10" i="6"/>
  <c r="B10" i="6"/>
  <c r="G10" i="6" l="1"/>
  <c r="G58" i="5" l="1"/>
  <c r="D58" i="5"/>
  <c r="G48" i="5"/>
  <c r="D48" i="5"/>
  <c r="G47" i="5"/>
  <c r="D47" i="5"/>
  <c r="G36" i="5"/>
  <c r="D36" i="5"/>
  <c r="G30" i="5"/>
  <c r="D30" i="5"/>
  <c r="G29" i="5"/>
  <c r="D29" i="5"/>
  <c r="G17" i="5"/>
  <c r="D17" i="5"/>
  <c r="G15" i="5"/>
  <c r="G14" i="5"/>
  <c r="G13" i="5"/>
  <c r="G12" i="5"/>
  <c r="G11" i="5"/>
  <c r="G10" i="5"/>
  <c r="G9" i="5"/>
  <c r="D15" i="5"/>
  <c r="D14" i="5"/>
  <c r="D13" i="5"/>
  <c r="D12" i="5"/>
  <c r="D11" i="5"/>
  <c r="D10" i="5"/>
  <c r="D9" i="5"/>
  <c r="D40" i="4" l="1"/>
  <c r="F14" i="2" l="1"/>
  <c r="F9" i="1" l="1"/>
  <c r="E9" i="1"/>
  <c r="F42" i="1"/>
  <c r="E42" i="1"/>
  <c r="F38" i="1"/>
  <c r="E38" i="1"/>
  <c r="F31" i="1"/>
  <c r="E31" i="1"/>
  <c r="F27" i="1"/>
  <c r="E27" i="1"/>
  <c r="F23" i="1"/>
  <c r="E23" i="1"/>
  <c r="F19" i="1"/>
  <c r="E19" i="1"/>
  <c r="C41" i="1"/>
  <c r="B41" i="1"/>
  <c r="C38" i="1"/>
  <c r="B38" i="1"/>
  <c r="C31" i="1"/>
  <c r="B31" i="1"/>
  <c r="C25" i="1"/>
  <c r="B25" i="1"/>
  <c r="C17" i="1"/>
  <c r="B17" i="1"/>
  <c r="C9" i="1"/>
  <c r="B9" i="1"/>
  <c r="B47" i="1" l="1"/>
  <c r="C137" i="6"/>
  <c r="Q129" i="24" s="1"/>
  <c r="B137" i="6"/>
  <c r="P129" i="24" s="1"/>
  <c r="C62" i="6"/>
  <c r="D62" i="6"/>
  <c r="E62" i="6"/>
  <c r="F62" i="6"/>
  <c r="B62" i="6"/>
  <c r="B8" i="10"/>
  <c r="C6" i="23"/>
  <c r="C7" i="23"/>
  <c r="A2" i="8"/>
  <c r="H25" i="23"/>
  <c r="G25" i="23"/>
  <c r="F25" i="23"/>
  <c r="E25" i="23"/>
  <c r="D25" i="23"/>
  <c r="G30" i="9"/>
  <c r="G31" i="9"/>
  <c r="G29" i="9"/>
  <c r="G28" i="9" s="1"/>
  <c r="U20" i="27" s="1"/>
  <c r="G26" i="9"/>
  <c r="G27" i="9"/>
  <c r="U19" i="27" s="1"/>
  <c r="G25" i="9"/>
  <c r="G23" i="9"/>
  <c r="G22" i="9"/>
  <c r="G19" i="9"/>
  <c r="U12" i="27" s="1"/>
  <c r="G18" i="9"/>
  <c r="G17" i="9"/>
  <c r="G16" i="9" s="1"/>
  <c r="G73" i="8"/>
  <c r="G74" i="8"/>
  <c r="U66" i="26" s="1"/>
  <c r="G75" i="8"/>
  <c r="G72" i="8"/>
  <c r="G71" i="8" s="1"/>
  <c r="U63" i="26" s="1"/>
  <c r="G39" i="8"/>
  <c r="G40" i="8"/>
  <c r="G41" i="8"/>
  <c r="G38" i="8"/>
  <c r="G10" i="8"/>
  <c r="G19" i="8"/>
  <c r="G27" i="8"/>
  <c r="G37" i="8"/>
  <c r="U30" i="26" s="1"/>
  <c r="G21" i="7"/>
  <c r="G22" i="7"/>
  <c r="G19" i="7" s="1"/>
  <c r="U3" i="25" s="1"/>
  <c r="G23" i="7"/>
  <c r="G24" i="7"/>
  <c r="G25" i="7"/>
  <c r="G26" i="7"/>
  <c r="G27" i="7"/>
  <c r="G12" i="7"/>
  <c r="G13" i="7"/>
  <c r="G14" i="7"/>
  <c r="G15" i="7"/>
  <c r="G16" i="7"/>
  <c r="G17" i="7"/>
  <c r="B18" i="6"/>
  <c r="B28" i="6"/>
  <c r="B38" i="6"/>
  <c r="P31" i="24" s="1"/>
  <c r="B48" i="6"/>
  <c r="P41" i="24" s="1"/>
  <c r="B58" i="6"/>
  <c r="B71" i="6"/>
  <c r="B75" i="6"/>
  <c r="G152" i="6"/>
  <c r="G153" i="6"/>
  <c r="G150" i="6" s="1"/>
  <c r="U142" i="24" s="1"/>
  <c r="G154" i="6"/>
  <c r="G155" i="6"/>
  <c r="G156" i="6"/>
  <c r="G157" i="6"/>
  <c r="G151" i="6"/>
  <c r="G148" i="6"/>
  <c r="U140" i="24" s="1"/>
  <c r="G149" i="6"/>
  <c r="G147" i="6"/>
  <c r="G146" i="6" s="1"/>
  <c r="U138" i="24" s="1"/>
  <c r="G139" i="6"/>
  <c r="G140" i="6"/>
  <c r="U132" i="24" s="1"/>
  <c r="G141" i="6"/>
  <c r="G142" i="6"/>
  <c r="U134" i="24" s="1"/>
  <c r="G143" i="6"/>
  <c r="G144" i="6"/>
  <c r="U136" i="24" s="1"/>
  <c r="G145" i="6"/>
  <c r="G138" i="6"/>
  <c r="G137" i="6" s="1"/>
  <c r="U129" i="24" s="1"/>
  <c r="G135" i="6"/>
  <c r="U127" i="24" s="1"/>
  <c r="G136" i="6"/>
  <c r="G77" i="6"/>
  <c r="G78" i="6"/>
  <c r="G79" i="6"/>
  <c r="G80" i="6"/>
  <c r="G81" i="6"/>
  <c r="G82" i="6"/>
  <c r="G76" i="6"/>
  <c r="G62" i="6"/>
  <c r="B7" i="13"/>
  <c r="G18" i="6"/>
  <c r="G18" i="5"/>
  <c r="G16" i="5" s="1"/>
  <c r="U10" i="20" s="1"/>
  <c r="G19" i="5"/>
  <c r="G20" i="5"/>
  <c r="G21" i="5"/>
  <c r="G22" i="5"/>
  <c r="G23" i="5"/>
  <c r="G24" i="5"/>
  <c r="G25" i="5"/>
  <c r="G26" i="5"/>
  <c r="G27" i="5"/>
  <c r="G31" i="5"/>
  <c r="G32" i="5"/>
  <c r="U26" i="20" s="1"/>
  <c r="G33" i="5"/>
  <c r="G34" i="5"/>
  <c r="U28" i="20" s="1"/>
  <c r="G35" i="5"/>
  <c r="G38" i="5"/>
  <c r="G39" i="5"/>
  <c r="G37" i="5" s="1"/>
  <c r="U31" i="20" s="1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R2" i="30"/>
  <c r="T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R2" i="29"/>
  <c r="T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D32" i="10"/>
  <c r="R23" i="28"/>
  <c r="F32" i="10"/>
  <c r="T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Q5" i="27" s="1"/>
  <c r="C16" i="9"/>
  <c r="D12" i="9"/>
  <c r="R5" i="27" s="1"/>
  <c r="D16" i="9"/>
  <c r="E12" i="9"/>
  <c r="S5" i="27" s="1"/>
  <c r="E16" i="9"/>
  <c r="E9" i="9"/>
  <c r="S2" i="27" s="1"/>
  <c r="F12" i="9"/>
  <c r="T5" i="27"/>
  <c r="F16" i="9"/>
  <c r="F9" i="9"/>
  <c r="T2" i="27" s="1"/>
  <c r="G12" i="9"/>
  <c r="U5" i="27"/>
  <c r="Q3" i="27"/>
  <c r="R3" i="27"/>
  <c r="S3" i="27"/>
  <c r="T3" i="27"/>
  <c r="U3" i="27"/>
  <c r="Q4" i="27"/>
  <c r="R4" i="27"/>
  <c r="S4" i="27"/>
  <c r="T4" i="27"/>
  <c r="U4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C24" i="9"/>
  <c r="C28" i="9"/>
  <c r="C21" i="9" s="1"/>
  <c r="Q13" i="27" s="1"/>
  <c r="D24" i="9"/>
  <c r="R16" i="27" s="1"/>
  <c r="D28" i="9"/>
  <c r="E24" i="9"/>
  <c r="E28" i="9"/>
  <c r="E21" i="9"/>
  <c r="S13" i="27" s="1"/>
  <c r="F24" i="9"/>
  <c r="T16" i="27"/>
  <c r="F28" i="9"/>
  <c r="F21" i="9" s="1"/>
  <c r="T13" i="27" s="1"/>
  <c r="G24" i="9"/>
  <c r="Q14" i="27"/>
  <c r="R14" i="27"/>
  <c r="S14" i="27"/>
  <c r="T14" i="27"/>
  <c r="U14" i="27"/>
  <c r="Q15" i="27"/>
  <c r="R15" i="27"/>
  <c r="S15" i="27"/>
  <c r="T15" i="27"/>
  <c r="Q16" i="27"/>
  <c r="S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Q20" i="27"/>
  <c r="R20" i="27"/>
  <c r="S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C19" i="8"/>
  <c r="C27" i="8"/>
  <c r="C37" i="8"/>
  <c r="C9" i="8" s="1"/>
  <c r="D10" i="8"/>
  <c r="R3" i="26"/>
  <c r="D19" i="8"/>
  <c r="D27" i="8"/>
  <c r="D37" i="8"/>
  <c r="E10" i="8"/>
  <c r="E19" i="8"/>
  <c r="E27" i="8"/>
  <c r="E37" i="8"/>
  <c r="E9" i="8" s="1"/>
  <c r="S2" i="26" s="1"/>
  <c r="F10" i="8"/>
  <c r="T3" i="26" s="1"/>
  <c r="F19" i="8"/>
  <c r="T12" i="26" s="1"/>
  <c r="F27" i="8"/>
  <c r="F37" i="8"/>
  <c r="Q3" i="26"/>
  <c r="S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S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R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/>
  <c r="C53" i="8"/>
  <c r="C61" i="8"/>
  <c r="C71" i="8"/>
  <c r="C43" i="8" s="1"/>
  <c r="Q35" i="26" s="1"/>
  <c r="D44" i="8"/>
  <c r="D53" i="8"/>
  <c r="R45" i="26" s="1"/>
  <c r="D61" i="8"/>
  <c r="R53" i="26"/>
  <c r="D71" i="8"/>
  <c r="R63" i="26" s="1"/>
  <c r="E44" i="8"/>
  <c r="S36" i="26"/>
  <c r="E53" i="8"/>
  <c r="E61" i="8"/>
  <c r="E71" i="8"/>
  <c r="F44" i="8"/>
  <c r="F53" i="8"/>
  <c r="F61" i="8"/>
  <c r="T53" i="26"/>
  <c r="F71" i="8"/>
  <c r="T63" i="26" s="1"/>
  <c r="G44" i="8"/>
  <c r="G53" i="8"/>
  <c r="G61" i="8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S63" i="26"/>
  <c r="Q64" i="26"/>
  <c r="R64" i="26"/>
  <c r="S64" i="26"/>
  <c r="T64" i="26"/>
  <c r="Q65" i="26"/>
  <c r="R65" i="26"/>
  <c r="S65" i="26"/>
  <c r="T65" i="26"/>
  <c r="U65" i="26"/>
  <c r="Q66" i="26"/>
  <c r="R66" i="26"/>
  <c r="S66" i="26"/>
  <c r="T66" i="26"/>
  <c r="Q67" i="26"/>
  <c r="R67" i="26"/>
  <c r="S67" i="26"/>
  <c r="T67" i="26"/>
  <c r="U67" i="26"/>
  <c r="B44" i="8"/>
  <c r="P36" i="26" s="1"/>
  <c r="B53" i="8"/>
  <c r="B61" i="8"/>
  <c r="B71" i="8"/>
  <c r="P63" i="26" s="1"/>
  <c r="B10" i="8"/>
  <c r="B19" i="8"/>
  <c r="B27" i="8"/>
  <c r="P20" i="26" s="1"/>
  <c r="B37" i="8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F9" i="7"/>
  <c r="T2" i="25" s="1"/>
  <c r="F19" i="7"/>
  <c r="T3" i="25" s="1"/>
  <c r="E9" i="7"/>
  <c r="S2" i="25" s="1"/>
  <c r="E19" i="7"/>
  <c r="S3" i="25" s="1"/>
  <c r="D9" i="7"/>
  <c r="R2" i="25" s="1"/>
  <c r="D19" i="7"/>
  <c r="R3" i="25" s="1"/>
  <c r="C9" i="7"/>
  <c r="Q2" i="25" s="1"/>
  <c r="C19" i="7"/>
  <c r="B9" i="7"/>
  <c r="P2" i="25" s="1"/>
  <c r="B19" i="7"/>
  <c r="A3" i="25"/>
  <c r="A4" i="25"/>
  <c r="A2" i="25"/>
  <c r="A87" i="24"/>
  <c r="C85" i="6"/>
  <c r="Q77" i="24" s="1"/>
  <c r="C93" i="6"/>
  <c r="Q85" i="24" s="1"/>
  <c r="C103" i="6"/>
  <c r="C113" i="6"/>
  <c r="Q105" i="24" s="1"/>
  <c r="C123" i="6"/>
  <c r="Q115" i="24" s="1"/>
  <c r="C133" i="6"/>
  <c r="Q125" i="24" s="1"/>
  <c r="C150" i="6"/>
  <c r="D85" i="6"/>
  <c r="D93" i="6"/>
  <c r="R85" i="24" s="1"/>
  <c r="D103" i="6"/>
  <c r="R95" i="24" s="1"/>
  <c r="D113" i="6"/>
  <c r="R105" i="24" s="1"/>
  <c r="D123" i="6"/>
  <c r="D133" i="6"/>
  <c r="D150" i="6"/>
  <c r="R142" i="24"/>
  <c r="E85" i="6"/>
  <c r="E93" i="6"/>
  <c r="E103" i="6"/>
  <c r="E113" i="6"/>
  <c r="S105" i="24"/>
  <c r="E123" i="6"/>
  <c r="E133" i="6"/>
  <c r="S125" i="24" s="1"/>
  <c r="E150" i="6"/>
  <c r="S142" i="24" s="1"/>
  <c r="F85" i="6"/>
  <c r="F93" i="6"/>
  <c r="F103" i="6"/>
  <c r="T95" i="24" s="1"/>
  <c r="F113" i="6"/>
  <c r="F123" i="6"/>
  <c r="F133" i="6"/>
  <c r="T125" i="24" s="1"/>
  <c r="F150" i="6"/>
  <c r="T142" i="24" s="1"/>
  <c r="G85" i="6"/>
  <c r="G93" i="6"/>
  <c r="G103" i="6"/>
  <c r="G113" i="6"/>
  <c r="U105" i="24"/>
  <c r="G123" i="6"/>
  <c r="G133" i="6"/>
  <c r="U125" i="24" s="1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S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T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Q126" i="24"/>
  <c r="R126" i="24"/>
  <c r="S126" i="24"/>
  <c r="T126" i="24"/>
  <c r="U126" i="24"/>
  <c r="Q127" i="24"/>
  <c r="R127" i="24"/>
  <c r="S127" i="24"/>
  <c r="T127" i="24"/>
  <c r="Q128" i="24"/>
  <c r="R128" i="24"/>
  <c r="S128" i="24"/>
  <c r="T128" i="24"/>
  <c r="U128" i="24"/>
  <c r="R129" i="24"/>
  <c r="S129" i="24"/>
  <c r="T129" i="24"/>
  <c r="Q130" i="24"/>
  <c r="R130" i="24"/>
  <c r="S130" i="24"/>
  <c r="T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U135" i="24"/>
  <c r="Q136" i="24"/>
  <c r="R136" i="24"/>
  <c r="S136" i="24"/>
  <c r="T136" i="24"/>
  <c r="Q137" i="24"/>
  <c r="R137" i="24"/>
  <c r="S137" i="24"/>
  <c r="T137" i="24"/>
  <c r="U137" i="24"/>
  <c r="Q138" i="24"/>
  <c r="R138" i="24"/>
  <c r="S138" i="24"/>
  <c r="T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U141" i="24"/>
  <c r="Q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" i="24"/>
  <c r="C18" i="6"/>
  <c r="C28" i="6"/>
  <c r="Q21" i="24"/>
  <c r="C38" i="6"/>
  <c r="C48" i="6"/>
  <c r="Q41" i="24"/>
  <c r="C58" i="6"/>
  <c r="C71" i="6"/>
  <c r="C75" i="6"/>
  <c r="D18" i="6"/>
  <c r="R11" i="24" s="1"/>
  <c r="D28" i="6"/>
  <c r="R21" i="24" s="1"/>
  <c r="D38" i="6"/>
  <c r="R31" i="24" s="1"/>
  <c r="D48" i="6"/>
  <c r="D58" i="6"/>
  <c r="R51" i="24" s="1"/>
  <c r="D71" i="6"/>
  <c r="D75" i="6"/>
  <c r="R68" i="24"/>
  <c r="S3" i="24"/>
  <c r="E18" i="6"/>
  <c r="E28" i="6"/>
  <c r="S21" i="24"/>
  <c r="E38" i="6"/>
  <c r="E48" i="6"/>
  <c r="S41" i="24"/>
  <c r="E58" i="6"/>
  <c r="E71" i="6"/>
  <c r="E75" i="6"/>
  <c r="F18" i="6"/>
  <c r="F28" i="6"/>
  <c r="F38" i="6"/>
  <c r="F48" i="6"/>
  <c r="F58" i="6"/>
  <c r="F71" i="6"/>
  <c r="F75" i="6"/>
  <c r="T68" i="24"/>
  <c r="G28" i="6"/>
  <c r="U21" i="24" s="1"/>
  <c r="G38" i="6"/>
  <c r="G48" i="6"/>
  <c r="U41" i="24"/>
  <c r="G58" i="6"/>
  <c r="G71" i="6"/>
  <c r="G75" i="6"/>
  <c r="G9" i="6"/>
  <c r="U2" i="24" s="1"/>
  <c r="B85" i="6"/>
  <c r="P77" i="24" s="1"/>
  <c r="B93" i="6"/>
  <c r="B103" i="6"/>
  <c r="B113" i="6"/>
  <c r="P105" i="24" s="1"/>
  <c r="B123" i="6"/>
  <c r="P115" i="24" s="1"/>
  <c r="B133" i="6"/>
  <c r="P125" i="24" s="1"/>
  <c r="B150" i="6"/>
  <c r="P142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R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R41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S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7" i="20"/>
  <c r="U29" i="20"/>
  <c r="U30" i="20"/>
  <c r="U32" i="20"/>
  <c r="U33" i="20"/>
  <c r="G46" i="5"/>
  <c r="U38" i="20" s="1"/>
  <c r="U40" i="20"/>
  <c r="G49" i="5"/>
  <c r="G50" i="5"/>
  <c r="U42" i="20" s="1"/>
  <c r="G51" i="5"/>
  <c r="U43" i="20" s="1"/>
  <c r="G52" i="5"/>
  <c r="U44" i="20"/>
  <c r="G53" i="5"/>
  <c r="G45" i="5" s="1"/>
  <c r="U39" i="20"/>
  <c r="U41" i="20"/>
  <c r="U45" i="20"/>
  <c r="G55" i="5"/>
  <c r="G56" i="5"/>
  <c r="U48" i="20" s="1"/>
  <c r="G57" i="5"/>
  <c r="G54" i="5"/>
  <c r="U46" i="20" s="1"/>
  <c r="U47" i="20"/>
  <c r="U49" i="20"/>
  <c r="U50" i="20"/>
  <c r="G60" i="5"/>
  <c r="U52" i="20"/>
  <c r="G61" i="5"/>
  <c r="U53" i="20"/>
  <c r="G62" i="5"/>
  <c r="U54" i="20"/>
  <c r="G63" i="5"/>
  <c r="U55" i="20"/>
  <c r="G68" i="5"/>
  <c r="G67" i="5" s="1"/>
  <c r="U57" i="20" s="1"/>
  <c r="G73" i="5"/>
  <c r="U60" i="20"/>
  <c r="G74" i="5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E65" i="5"/>
  <c r="S56" i="20" s="1"/>
  <c r="C67" i="5"/>
  <c r="Q57" i="20" s="1"/>
  <c r="D67" i="5"/>
  <c r="R57" i="20" s="1"/>
  <c r="E67" i="5"/>
  <c r="S57" i="20" s="1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 s="1"/>
  <c r="P60" i="20"/>
  <c r="P58" i="20"/>
  <c r="B67" i="5"/>
  <c r="P57" i="20"/>
  <c r="B45" i="5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B28" i="5"/>
  <c r="B35" i="5"/>
  <c r="B37" i="5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4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I23" i="23"/>
  <c r="H23" i="23"/>
  <c r="G23" i="23"/>
  <c r="E6" i="11"/>
  <c r="F23" i="23"/>
  <c r="E23" i="23"/>
  <c r="G5" i="13"/>
  <c r="G5" i="12"/>
  <c r="C11" i="23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J20" i="3" s="1"/>
  <c r="X5" i="17" s="1"/>
  <c r="H8" i="3"/>
  <c r="G8" i="3"/>
  <c r="U3" i="17"/>
  <c r="E8" i="3"/>
  <c r="S3" i="17" s="1"/>
  <c r="F41" i="2"/>
  <c r="T17" i="16" s="1"/>
  <c r="E41" i="2"/>
  <c r="S17" i="16" s="1"/>
  <c r="D41" i="2"/>
  <c r="R17" i="16" s="1"/>
  <c r="C41" i="2"/>
  <c r="Q17" i="16" s="1"/>
  <c r="H27" i="2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B44" i="4" s="1"/>
  <c r="P25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B55" i="4"/>
  <c r="B53" i="4"/>
  <c r="B49" i="4"/>
  <c r="B48" i="4"/>
  <c r="B37" i="4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30" i="18"/>
  <c r="P28" i="18"/>
  <c r="P29" i="18"/>
  <c r="P26" i="18"/>
  <c r="P20" i="18"/>
  <c r="P21" i="18"/>
  <c r="P22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Q71" i="15"/>
  <c r="Q76" i="15"/>
  <c r="Q80" i="15"/>
  <c r="Q91" i="15"/>
  <c r="F63" i="1"/>
  <c r="Q106" i="15" s="1"/>
  <c r="Q107" i="15"/>
  <c r="Q108" i="15"/>
  <c r="Q109" i="15"/>
  <c r="F68" i="1"/>
  <c r="Q111" i="15"/>
  <c r="Q112" i="15"/>
  <c r="Q113" i="15"/>
  <c r="Q114" i="15"/>
  <c r="Q115" i="15"/>
  <c r="F75" i="1"/>
  <c r="Q116" i="15"/>
  <c r="Q117" i="15"/>
  <c r="Q118" i="15"/>
  <c r="P57" i="15"/>
  <c r="P67" i="15"/>
  <c r="P76" i="15"/>
  <c r="P80" i="15"/>
  <c r="P87" i="15"/>
  <c r="E57" i="1"/>
  <c r="P103" i="15"/>
  <c r="E63" i="1"/>
  <c r="E68" i="1"/>
  <c r="P110" i="15" s="1"/>
  <c r="E75" i="1"/>
  <c r="P116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57" i="15"/>
  <c r="Q33" i="15"/>
  <c r="P33" i="15"/>
  <c r="A33" i="15"/>
  <c r="A55" i="15"/>
  <c r="Q20" i="15"/>
  <c r="Q34" i="15"/>
  <c r="C60" i="1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/>
  <c r="D70" i="4"/>
  <c r="C68" i="4"/>
  <c r="Q36" i="18" s="1"/>
  <c r="D68" i="4"/>
  <c r="C64" i="4"/>
  <c r="D64" i="4"/>
  <c r="R33" i="18" s="1"/>
  <c r="C63" i="4"/>
  <c r="D63" i="4"/>
  <c r="C48" i="4"/>
  <c r="Q26" i="18" s="1"/>
  <c r="C55" i="4"/>
  <c r="D55" i="4"/>
  <c r="R31" i="18" s="1"/>
  <c r="C53" i="4"/>
  <c r="D53" i="4"/>
  <c r="D48" i="4"/>
  <c r="C49" i="4"/>
  <c r="D49" i="4"/>
  <c r="C29" i="4"/>
  <c r="Q15" i="18"/>
  <c r="D29" i="4"/>
  <c r="C40" i="4"/>
  <c r="Q22" i="18" s="1"/>
  <c r="C37" i="4"/>
  <c r="Q19" i="18" s="1"/>
  <c r="D37" i="4"/>
  <c r="D44" i="4" s="1"/>
  <c r="C17" i="4"/>
  <c r="C13" i="4"/>
  <c r="D13" i="4"/>
  <c r="R6" i="18" s="1"/>
  <c r="V15" i="16"/>
  <c r="C13" i="2"/>
  <c r="C8" i="2" s="1"/>
  <c r="C20" i="2" s="1"/>
  <c r="Q13" i="16" s="1"/>
  <c r="D13" i="2"/>
  <c r="D8" i="2" s="1"/>
  <c r="S8" i="16"/>
  <c r="F13" i="2"/>
  <c r="T8" i="16" s="1"/>
  <c r="U8" i="16"/>
  <c r="H13" i="2"/>
  <c r="V8" i="16"/>
  <c r="B13" i="2"/>
  <c r="P8" i="16" s="1"/>
  <c r="Q4" i="16"/>
  <c r="R4" i="16"/>
  <c r="E9" i="2"/>
  <c r="S4" i="16" s="1"/>
  <c r="F9" i="2"/>
  <c r="T4" i="16" s="1"/>
  <c r="G9" i="2"/>
  <c r="U4" i="16" s="1"/>
  <c r="H9" i="2"/>
  <c r="V4" i="16"/>
  <c r="P4" i="16"/>
  <c r="P4" i="15"/>
  <c r="Q6" i="18"/>
  <c r="R22" i="18"/>
  <c r="R27" i="18"/>
  <c r="Q30" i="18"/>
  <c r="R32" i="18"/>
  <c r="R36" i="18"/>
  <c r="Q9" i="18"/>
  <c r="Q27" i="18"/>
  <c r="Q32" i="18"/>
  <c r="R19" i="18"/>
  <c r="R15" i="18"/>
  <c r="Q31" i="18"/>
  <c r="R37" i="18"/>
  <c r="R30" i="18"/>
  <c r="Q33" i="18"/>
  <c r="C57" i="4"/>
  <c r="C59" i="4" s="1"/>
  <c r="H8" i="2"/>
  <c r="H20" i="2"/>
  <c r="V13" i="16" s="1"/>
  <c r="V3" i="16"/>
  <c r="C47" i="1"/>
  <c r="W3" i="17"/>
  <c r="E47" i="1"/>
  <c r="P95" i="15" s="1"/>
  <c r="F47" i="1"/>
  <c r="F59" i="1" s="1"/>
  <c r="P42" i="15"/>
  <c r="A2" i="2"/>
  <c r="A2" i="7"/>
  <c r="A2" i="1"/>
  <c r="A2" i="3"/>
  <c r="A2" i="5"/>
  <c r="X3" i="17"/>
  <c r="B62" i="1"/>
  <c r="P54" i="15"/>
  <c r="P19" i="18"/>
  <c r="P27" i="18"/>
  <c r="B57" i="4"/>
  <c r="B59" i="4" s="1"/>
  <c r="A2" i="13"/>
  <c r="A2" i="11"/>
  <c r="A2" i="12"/>
  <c r="C6" i="11"/>
  <c r="C6" i="10"/>
  <c r="G6" i="11"/>
  <c r="G6" i="10"/>
  <c r="U58" i="20"/>
  <c r="G59" i="5"/>
  <c r="U51" i="20" s="1"/>
  <c r="Q67" i="15"/>
  <c r="F8" i="2"/>
  <c r="F20" i="2" s="1"/>
  <c r="T13" i="16" s="1"/>
  <c r="Q8" i="16"/>
  <c r="K14" i="3"/>
  <c r="Y4" i="17" s="1"/>
  <c r="A2" i="10"/>
  <c r="E6" i="10"/>
  <c r="P22" i="20"/>
  <c r="R8" i="16"/>
  <c r="Q110" i="15"/>
  <c r="K8" i="3"/>
  <c r="Y3" i="17" s="1"/>
  <c r="D6" i="11"/>
  <c r="D6" i="10"/>
  <c r="F6" i="11"/>
  <c r="F6" i="10"/>
  <c r="B6" i="11"/>
  <c r="B6" i="10"/>
  <c r="U85" i="24"/>
  <c r="S85" i="24"/>
  <c r="Q3" i="25"/>
  <c r="D9" i="6"/>
  <c r="U36" i="26"/>
  <c r="G32" i="10"/>
  <c r="U23" i="28"/>
  <c r="E32" i="10"/>
  <c r="S23" i="28"/>
  <c r="C32" i="10"/>
  <c r="Q23" i="28"/>
  <c r="A2" i="6"/>
  <c r="A2" i="9"/>
  <c r="U2" i="29"/>
  <c r="S2" i="29"/>
  <c r="Q2" i="29"/>
  <c r="U2" i="30"/>
  <c r="S2" i="30"/>
  <c r="Q2" i="30"/>
  <c r="Q95" i="15"/>
  <c r="R2" i="24"/>
  <c r="C62" i="1"/>
  <c r="Q54" i="15"/>
  <c r="Q42" i="15"/>
  <c r="H20" i="3" l="1"/>
  <c r="V5" i="17" s="1"/>
  <c r="G21" i="9"/>
  <c r="U13" i="27" s="1"/>
  <c r="U21" i="27"/>
  <c r="T20" i="27"/>
  <c r="B21" i="9"/>
  <c r="P13" i="27" s="1"/>
  <c r="D21" i="9"/>
  <c r="R13" i="27" s="1"/>
  <c r="U15" i="27"/>
  <c r="G9" i="9"/>
  <c r="U2" i="27" s="1"/>
  <c r="U9" i="27"/>
  <c r="E33" i="9"/>
  <c r="S24" i="27" s="1"/>
  <c r="U10" i="27"/>
  <c r="B9" i="9"/>
  <c r="G33" i="9"/>
  <c r="U24" i="27" s="1"/>
  <c r="D9" i="9"/>
  <c r="C9" i="9"/>
  <c r="Q2" i="27" s="1"/>
  <c r="F33" i="9"/>
  <c r="T24" i="27" s="1"/>
  <c r="C33" i="9"/>
  <c r="Q24" i="27" s="1"/>
  <c r="B43" i="8"/>
  <c r="P35" i="26" s="1"/>
  <c r="U64" i="26"/>
  <c r="G43" i="8"/>
  <c r="U35" i="26" s="1"/>
  <c r="E43" i="8"/>
  <c r="S35" i="26" s="1"/>
  <c r="F43" i="8"/>
  <c r="T35" i="26" s="1"/>
  <c r="D43" i="8"/>
  <c r="R35" i="26" s="1"/>
  <c r="R36" i="26"/>
  <c r="Q2" i="26"/>
  <c r="C77" i="8"/>
  <c r="Q68" i="26" s="1"/>
  <c r="D9" i="8"/>
  <c r="R2" i="26" s="1"/>
  <c r="G9" i="8"/>
  <c r="U2" i="26" s="1"/>
  <c r="S30" i="26"/>
  <c r="Q30" i="26"/>
  <c r="B9" i="8"/>
  <c r="G77" i="8"/>
  <c r="U68" i="26" s="1"/>
  <c r="R12" i="26"/>
  <c r="E77" i="8"/>
  <c r="S68" i="26" s="1"/>
  <c r="F9" i="8"/>
  <c r="E29" i="7"/>
  <c r="S4" i="25" s="1"/>
  <c r="I20" i="3"/>
  <c r="W5" i="17" s="1"/>
  <c r="B29" i="7"/>
  <c r="P4" i="25" s="1"/>
  <c r="U130" i="24"/>
  <c r="F84" i="6"/>
  <c r="T76" i="24" s="1"/>
  <c r="E84" i="6"/>
  <c r="S76" i="24" s="1"/>
  <c r="G84" i="6"/>
  <c r="U76" i="24" s="1"/>
  <c r="B84" i="6"/>
  <c r="P76" i="24" s="1"/>
  <c r="G159" i="6"/>
  <c r="U150" i="24" s="1"/>
  <c r="D84" i="6"/>
  <c r="R76" i="24" s="1"/>
  <c r="C84" i="6"/>
  <c r="Q76" i="24" s="1"/>
  <c r="F9" i="6"/>
  <c r="E9" i="6"/>
  <c r="S2" i="24"/>
  <c r="F159" i="6"/>
  <c r="T150" i="24" s="1"/>
  <c r="T2" i="24"/>
  <c r="B9" i="6"/>
  <c r="C9" i="6"/>
  <c r="Q2" i="24" s="1"/>
  <c r="P2" i="24"/>
  <c r="B159" i="6"/>
  <c r="P150" i="24" s="1"/>
  <c r="P11" i="24"/>
  <c r="B65" i="5"/>
  <c r="P56" i="20" s="1"/>
  <c r="F65" i="5"/>
  <c r="T56" i="20" s="1"/>
  <c r="D65" i="5"/>
  <c r="R56" i="20" s="1"/>
  <c r="U37" i="20"/>
  <c r="G65" i="5"/>
  <c r="U56" i="20" s="1"/>
  <c r="P37" i="20"/>
  <c r="G28" i="5"/>
  <c r="U22" i="20" s="1"/>
  <c r="C70" i="5"/>
  <c r="E41" i="5"/>
  <c r="S34" i="20" s="1"/>
  <c r="B41" i="5"/>
  <c r="B70" i="5"/>
  <c r="P34" i="20"/>
  <c r="E70" i="5"/>
  <c r="F41" i="5"/>
  <c r="D41" i="5"/>
  <c r="R34" i="20" s="1"/>
  <c r="D72" i="4"/>
  <c r="B72" i="4"/>
  <c r="R25" i="18"/>
  <c r="D11" i="4"/>
  <c r="C44" i="4"/>
  <c r="B11" i="4"/>
  <c r="D74" i="4"/>
  <c r="R39" i="18" s="1"/>
  <c r="R38" i="18"/>
  <c r="D57" i="4"/>
  <c r="D59" i="4" s="1"/>
  <c r="C72" i="4"/>
  <c r="C74" i="4" s="1"/>
  <c r="Q39" i="18" s="1"/>
  <c r="Q38" i="18"/>
  <c r="R26" i="18"/>
  <c r="E8" i="2"/>
  <c r="G8" i="2"/>
  <c r="G20" i="2" s="1"/>
  <c r="U13" i="16" s="1"/>
  <c r="U3" i="16"/>
  <c r="T3" i="16"/>
  <c r="R3" i="16"/>
  <c r="D20" i="2"/>
  <c r="R13" i="16" s="1"/>
  <c r="B8" i="2"/>
  <c r="Q3" i="16"/>
  <c r="E79" i="1"/>
  <c r="P119" i="15" s="1"/>
  <c r="F79" i="1"/>
  <c r="Q119" i="15" s="1"/>
  <c r="P106" i="15"/>
  <c r="F81" i="1"/>
  <c r="Q120" i="15" s="1"/>
  <c r="Q104" i="15"/>
  <c r="E59" i="1"/>
  <c r="F29" i="7"/>
  <c r="T4" i="25" s="1"/>
  <c r="K20" i="3"/>
  <c r="Y5" i="17" s="1"/>
  <c r="T14" i="16"/>
  <c r="D29" i="7"/>
  <c r="R4" i="25" s="1"/>
  <c r="G20" i="3"/>
  <c r="U5" i="17" s="1"/>
  <c r="E20" i="3"/>
  <c r="S5" i="17" s="1"/>
  <c r="C29" i="7"/>
  <c r="Q4" i="25" s="1"/>
  <c r="P3" i="25"/>
  <c r="G29" i="7"/>
  <c r="U4" i="25" s="1"/>
  <c r="V3" i="17"/>
  <c r="R2" i="27" l="1"/>
  <c r="D33" i="9"/>
  <c r="R24" i="27" s="1"/>
  <c r="P2" i="27"/>
  <c r="B33" i="9"/>
  <c r="P24" i="27" s="1"/>
  <c r="D77" i="8"/>
  <c r="R68" i="26" s="1"/>
  <c r="P2" i="26"/>
  <c r="B77" i="8"/>
  <c r="P68" i="26" s="1"/>
  <c r="F77" i="8"/>
  <c r="T68" i="26" s="1"/>
  <c r="T2" i="26"/>
  <c r="E159" i="6"/>
  <c r="S150" i="24" s="1"/>
  <c r="D159" i="6"/>
  <c r="R150" i="24" s="1"/>
  <c r="C159" i="6"/>
  <c r="Q150" i="24" s="1"/>
  <c r="D70" i="5"/>
  <c r="G41" i="5"/>
  <c r="U34" i="20" s="1"/>
  <c r="F70" i="5"/>
  <c r="T34" i="20"/>
  <c r="B74" i="4"/>
  <c r="P39" i="18" s="1"/>
  <c r="P38" i="18"/>
  <c r="D8" i="4"/>
  <c r="R5" i="18"/>
  <c r="C11" i="4"/>
  <c r="Q25" i="18"/>
  <c r="P5" i="18"/>
  <c r="B8" i="4"/>
  <c r="E20" i="2"/>
  <c r="S13" i="16" s="1"/>
  <c r="S3" i="16"/>
  <c r="P3" i="16"/>
  <c r="B20" i="2"/>
  <c r="P13" i="16" s="1"/>
  <c r="P104" i="15"/>
  <c r="E81" i="1"/>
  <c r="P120" i="15" s="1"/>
  <c r="G42" i="5" l="1"/>
  <c r="U35" i="20" s="1"/>
  <c r="G70" i="5"/>
  <c r="R2" i="18"/>
  <c r="D21" i="4"/>
  <c r="Q5" i="18"/>
  <c r="C8" i="4"/>
  <c r="B21" i="4"/>
  <c r="P2" i="18"/>
  <c r="D23" i="4" l="1"/>
  <c r="R12" i="18"/>
  <c r="C21" i="4"/>
  <c r="Q2" i="18"/>
  <c r="B23" i="4"/>
  <c r="P12" i="18"/>
  <c r="D25" i="4" l="1"/>
  <c r="R13" i="18"/>
  <c r="Q12" i="18"/>
  <c r="C23" i="4"/>
  <c r="P13" i="18"/>
  <c r="B25" i="4"/>
  <c r="R14" i="18" l="1"/>
  <c r="D33" i="4"/>
  <c r="R18" i="18" s="1"/>
  <c r="C25" i="4"/>
  <c r="Q13" i="18"/>
  <c r="B33" i="4"/>
  <c r="P18" i="18" s="1"/>
  <c r="P14" i="18"/>
  <c r="C33" i="4" l="1"/>
  <c r="Q18" i="18" s="1"/>
  <c r="Q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<sst xmlns="http://schemas.openxmlformats.org/spreadsheetml/2006/main" count="4243" uniqueCount="3305">
  <si>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</si>
  <si>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</si>
  <si>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</si>
  <si>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</si>
  <si>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</si>
  <si>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</si>
  <si>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</si>
  <si>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</si>
  <si>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</si>
  <si>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</si>
  <si>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</si>
  <si>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</si>
  <si>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</si>
  <si>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</si>
  <si>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</si>
  <si>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</si>
  <si>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</si>
  <si>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</si>
  <si>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</si>
  <si>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</si>
  <si>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</si>
  <si>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</si>
  <si>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</si>
  <si>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</si>
  <si>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</si>
  <si>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</si>
  <si>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</si>
  <si>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</si>
  <si>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</si>
  <si>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</si>
  <si>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</si>
  <si>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</si>
  <si>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</si>
  <si>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</si>
  <si>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</si>
  <si>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</si>
  <si>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</si>
  <si>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</si>
  <si>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</si>
  <si>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</si>
  <si>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</si>
  <si>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</si>
  <si>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</si>
  <si>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</si>
  <si>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</si>
  <si>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</si>
  <si>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</si>
  <si>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</si>
  <si>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</si>
  <si>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</si>
  <si>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</si>
  <si>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</si>
  <si>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</si>
  <si>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</si>
  <si>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</si>
  <si>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</si>
  <si>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</si>
  <si>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</si>
  <si>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</si>
  <si>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</si>
  <si>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</si>
  <si>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</si>
  <si>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</si>
  <si>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</si>
  <si>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</si>
  <si>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</si>
  <si>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</si>
  <si>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</si>
  <si>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</si>
  <si>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</si>
  <si>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</si>
  <si>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</si>
  <si>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</si>
  <si>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</si>
  <si>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</si>
  <si>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</si>
  <si>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</si>
  <si>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</si>
  <si>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</si>
  <si>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</si>
  <si>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</si>
  <si>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</si>
  <si>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</si>
  <si>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</si>
  <si>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</si>
  <si>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</si>
  <si>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</si>
  <si>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</si>
  <si>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</si>
  <si>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</si>
  <si>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</si>
  <si>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</si>
  <si>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</si>
  <si>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</si>
  <si>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</si>
  <si>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</si>
  <si>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</si>
  <si>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</si>
  <si>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</si>
  <si>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</si>
  <si>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</si>
  <si>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</si>
  <si>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</si>
  <si>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</si>
  <si>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</si>
  <si>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</si>
  <si>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</si>
  <si>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</si>
  <si>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</si>
  <si>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</si>
  <si>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</si>
  <si>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</si>
  <si>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</si>
  <si>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</si>
  <si>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</si>
  <si>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</si>
  <si>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</si>
  <si>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</si>
  <si>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</si>
  <si>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</si>
  <si>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</si>
  <si>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</si>
  <si>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</si>
  <si>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</si>
  <si>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</si>
  <si>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</si>
  <si>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</si>
  <si>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</si>
  <si>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</si>
  <si>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</si>
  <si>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</si>
  <si>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</si>
  <si>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</si>
  <si>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</si>
  <si>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</si>
  <si>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</si>
  <si>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</si>
  <si>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</si>
  <si>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</si>
  <si>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</si>
  <si>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</si>
  <si>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</si>
  <si>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</si>
  <si>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</si>
  <si>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</si>
  <si>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</si>
  <si>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</si>
  <si>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</si>
  <si>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</si>
  <si>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</si>
  <si>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</si>
  <si>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</si>
  <si>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</si>
  <si>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</si>
  <si>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</si>
  <si>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</si>
  <si>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</si>
  <si>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</si>
  <si>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</si>
  <si>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</si>
  <si>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</si>
  <si>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</si>
  <si>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</si>
  <si>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</si>
  <si>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</si>
  <si>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</si>
  <si>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</si>
  <si>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</si>
  <si>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</si>
  <si>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</si>
  <si>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</si>
  <si>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</si>
  <si>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</si>
  <si>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</si>
  <si>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</si>
  <si>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</si>
  <si>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</si>
  <si>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</si>
  <si>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</si>
  <si>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</si>
  <si>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</si>
  <si>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</si>
  <si>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</si>
  <si>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</si>
  <si>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</si>
  <si>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</si>
  <si>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</si>
  <si>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</si>
  <si>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</si>
  <si>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</si>
  <si>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</si>
  <si>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</si>
  <si>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</si>
  <si>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</si>
  <si>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</si>
  <si>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</si>
  <si>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</si>
  <si>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</si>
  <si>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</si>
  <si>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</si>
  <si>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</si>
  <si>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</si>
  <si>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</si>
  <si>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</si>
  <si>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</si>
  <si>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</si>
  <si>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</si>
  <si>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</si>
  <si>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</si>
  <si>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</si>
  <si>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</si>
  <si>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</si>
  <si>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</si>
  <si>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</si>
  <si>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</si>
  <si>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</si>
  <si>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</si>
  <si>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</si>
  <si>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</si>
  <si>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</si>
  <si>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</si>
  <si>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</si>
  <si>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</si>
  <si>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</si>
  <si>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</si>
  <si>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</si>
  <si>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</si>
  <si>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</si>
  <si>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</si>
  <si>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</si>
  <si>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</si>
  <si>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</si>
  <si>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</si>
  <si>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</si>
  <si>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</si>
  <si>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</si>
  <si>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</si>
  <si>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</si>
  <si>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</si>
  <si>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</si>
  <si>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</si>
  <si>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</si>
  <si>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</si>
  <si>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</si>
  <si>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</si>
  <si>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</si>
  <si>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</si>
  <si>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</si>
  <si>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</si>
  <si>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</si>
  <si>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</si>
  <si>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</si>
  <si>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</si>
  <si>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</si>
  <si>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</si>
  <si>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</si>
  <si>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</si>
  <si>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</si>
  <si>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</si>
  <si>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</si>
  <si>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</si>
  <si>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</si>
  <si>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</si>
  <si>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</si>
  <si>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</si>
  <si>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</si>
  <si>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</si>
  <si>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</si>
  <si>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</si>
  <si>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</si>
  <si>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</si>
  <si>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</si>
  <si>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</si>
  <si>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</si>
  <si>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</si>
  <si>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</si>
  <si>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</si>
  <si>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</si>
  <si>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</si>
  <si>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</si>
  <si>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</si>
  <si>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</si>
  <si>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</si>
  <si>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</si>
  <si>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</si>
  <si>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</si>
  <si>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</si>
  <si>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</si>
  <si>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</si>
  <si>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</si>
  <si>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</si>
  <si>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</si>
  <si>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</si>
  <si>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</si>
  <si>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</si>
  <si>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</si>
  <si>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</si>
  <si>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</si>
  <si>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</si>
  <si>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</si>
  <si>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</si>
  <si>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</si>
  <si>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</si>
  <si>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</si>
  <si>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</si>
  <si>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</si>
  <si>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</si>
  <si>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</si>
  <si>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</si>
  <si>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</si>
  <si>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</si>
  <si>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</si>
  <si>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</si>
  <si>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</si>
  <si>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</si>
  <si>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</si>
  <si>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</si>
  <si>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</si>
  <si>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</si>
  <si>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</si>
  <si>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</si>
  <si>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</si>
  <si>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</si>
  <si>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</si>
  <si>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</si>
  <si>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</si>
  <si>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</si>
  <si>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</si>
  <si>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</si>
  <si>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</si>
  <si>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</si>
  <si>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</si>
  <si>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</si>
  <si>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</si>
  <si>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</si>
  <si>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</si>
  <si>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</si>
  <si>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</si>
  <si>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</si>
  <si>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</si>
  <si>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</si>
  <si>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</si>
  <si>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</si>
  <si>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</si>
  <si>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</si>
  <si>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</si>
  <si>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</si>
  <si>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</si>
  <si>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</si>
  <si>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</si>
  <si>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</si>
  <si>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</si>
  <si>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</si>
  <si>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</si>
  <si>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</si>
  <si>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</si>
  <si>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</si>
  <si>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</si>
  <si>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</si>
  <si>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</si>
  <si>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</si>
  <si>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</si>
  <si>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</si>
  <si>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</si>
  <si>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</si>
  <si>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</si>
  <si>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</si>
  <si>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</si>
  <si>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</si>
  <si>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</si>
  <si>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</si>
  <si>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</si>
  <si>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</si>
  <si>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</si>
  <si>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</si>
  <si>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</si>
  <si>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</si>
  <si>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</si>
  <si>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</si>
  <si>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</si>
  <si>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</si>
  <si>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</si>
  <si>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</si>
  <si>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</si>
  <si>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</si>
  <si>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</si>
  <si>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</si>
  <si>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</si>
  <si>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</si>
  <si>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</si>
  <si>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</si>
  <si>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</si>
  <si>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</si>
  <si>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</si>
  <si>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</si>
  <si>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</si>
  <si>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</si>
  <si>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</si>
  <si>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</si>
  <si>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</si>
  <si>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</si>
  <si>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</si>
  <si>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</si>
  <si>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</si>
  <si>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</si>
  <si>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</si>
  <si>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</si>
  <si>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</si>
  <si>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</si>
  <si>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</si>
  <si>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</si>
  <si>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</si>
  <si>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</si>
  <si>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</si>
  <si>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</si>
  <si>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</si>
  <si>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</si>
  <si>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</si>
  <si>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</si>
  <si>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</si>
  <si>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</si>
  <si>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</si>
  <si>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</si>
  <si>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</si>
  <si>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</si>
  <si>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</si>
  <si>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</si>
  <si>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</si>
  <si>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</si>
  <si>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</si>
  <si>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</si>
  <si>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</si>
  <si>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</si>
  <si>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</si>
  <si>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</si>
  <si>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</si>
  <si>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</si>
  <si>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</si>
  <si>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</si>
  <si>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</si>
  <si>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</si>
  <si>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</si>
  <si>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</si>
  <si>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</si>
  <si>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</si>
  <si>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</si>
  <si>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</si>
  <si>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</si>
  <si>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</si>
  <si>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</si>
  <si>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</si>
  <si>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</si>
  <si>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</si>
  <si>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</si>
  <si>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</si>
  <si>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</si>
  <si>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</si>
  <si>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</si>
  <si>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</si>
  <si>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</si>
  <si>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</si>
  <si>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</si>
  <si>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</si>
  <si>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</si>
  <si>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</si>
  <si>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</si>
  <si>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</si>
  <si>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</si>
  <si>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</si>
  <si>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</si>
  <si>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</si>
  <si>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</si>
  <si>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</si>
  <si>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</si>
  <si>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</si>
  <si>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</si>
  <si>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</si>
  <si>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</si>
  <si>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</si>
  <si>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</si>
  <si>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</si>
  <si>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</si>
  <si>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</si>
  <si>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</si>
  <si>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</si>
  <si>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</si>
  <si>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</si>
  <si>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</si>
  <si>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</si>
  <si>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</si>
  <si>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</si>
  <si>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</si>
  <si>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</si>
  <si>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</si>
  <si>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</si>
  <si>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</si>
  <si>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</si>
  <si>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</si>
  <si>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</si>
  <si>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</si>
  <si>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</si>
  <si>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</si>
  <si>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</si>
  <si>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</si>
  <si>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</si>
  <si>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</si>
  <si>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</si>
  <si>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</si>
  <si>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</si>
  <si>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</si>
  <si>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</si>
  <si>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</si>
  <si>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</si>
  <si>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</si>
  <si>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</si>
  <si>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</si>
  <si>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</si>
  <si>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</si>
  <si>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</si>
  <si>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</si>
  <si>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</si>
  <si>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</si>
  <si>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</si>
  <si>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</si>
  <si>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</si>
  <si>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</si>
  <si>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</si>
  <si>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</si>
  <si>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</si>
  <si>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</si>
  <si>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</si>
  <si>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</si>
  <si>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</si>
  <si>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</si>
  <si>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</si>
  <si>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</si>
  <si>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</si>
  <si>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</si>
  <si>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</si>
  <si>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</si>
  <si>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</si>
  <si>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</si>
  <si>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</si>
  <si>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</si>
  <si>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</si>
  <si>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</si>
  <si>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</si>
  <si>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</si>
  <si>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</si>
  <si>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</si>
  <si>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</si>
  <si>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</si>
  <si>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</si>
  <si>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</si>
  <si>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</si>
  <si>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</si>
  <si>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</si>
  <si>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</si>
  <si>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</si>
  <si>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</si>
  <si>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</si>
  <si>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</si>
  <si>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</si>
  <si>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</si>
  <si>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</si>
  <si>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</si>
  <si>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</si>
  <si>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</si>
  <si>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</si>
  <si>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</si>
  <si>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</si>
  <si>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</si>
  <si>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</si>
  <si>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</si>
  <si>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</si>
  <si>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</si>
  <si>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</si>
  <si>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</si>
  <si>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</si>
  <si>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</si>
  <si>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</si>
  <si>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</si>
  <si>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</si>
  <si>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</si>
  <si>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</si>
  <si>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</si>
  <si>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</si>
  <si>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</si>
  <si>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</si>
  <si>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</si>
  <si>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</si>
  <si>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</si>
  <si>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</si>
  <si>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</si>
  <si>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</si>
  <si>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</si>
  <si>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</si>
  <si>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</si>
  <si>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</si>
  <si>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</si>
  <si>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</si>
  <si>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</si>
  <si>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</si>
  <si>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</si>
  <si>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</si>
  <si>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</si>
  <si>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</si>
  <si>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</si>
  <si>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</si>
  <si>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</si>
  <si>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</si>
  <si>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</si>
  <si>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</si>
  <si>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</si>
  <si>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</si>
  <si>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</si>
  <si>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</si>
  <si>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</si>
  <si>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</si>
  <si>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</si>
  <si>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</si>
  <si>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</si>
  <si>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</si>
  <si>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</si>
  <si>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</si>
  <si>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</si>
  <si>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</si>
  <si>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</si>
  <si>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</si>
  <si>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</si>
  <si>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</si>
  <si>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</si>
  <si>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</si>
  <si>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</si>
  <si>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</si>
  <si>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</si>
  <si>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</si>
  <si>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</si>
  <si>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</si>
  <si>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</si>
  <si>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</si>
  <si>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</si>
  <si>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</si>
  <si>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</si>
  <si>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</si>
  <si>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</si>
  <si>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</si>
  <si>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</si>
  <si>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</si>
  <si>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</si>
  <si>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</si>
  <si>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</si>
  <si>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</si>
  <si>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</si>
  <si>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</si>
  <si>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</si>
  <si>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</si>
  <si>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</si>
  <si>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</si>
  <si>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</si>
  <si>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</si>
  <si>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</si>
  <si>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</si>
  <si>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</si>
  <si>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</si>
  <si>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</si>
  <si>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</si>
  <si>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</si>
  <si>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</si>
  <si>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</si>
  <si>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</si>
  <si>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</si>
  <si>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</si>
  <si>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</si>
  <si>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</si>
  <si>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</si>
  <si>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</si>
  <si>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</si>
  <si>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</si>
  <si>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</si>
  <si>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</si>
  <si>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</si>
  <si>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</si>
  <si>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</si>
  <si>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</si>
  <si>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</si>
  <si>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</si>
  <si>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</si>
  <si>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</si>
  <si>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</si>
  <si>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</si>
  <si>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</si>
  <si>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</si>
  <si>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</si>
  <si>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</si>
  <si>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</si>
  <si>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</si>
  <si>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</si>
  <si>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</si>
  <si>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</si>
  <si>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</si>
  <si>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</si>
  <si>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</si>
  <si>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</si>
  <si>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</si>
  <si>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</si>
  <si>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</si>
  <si>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</si>
  <si>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</si>
  <si>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</si>
  <si>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</si>
  <si>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</si>
  <si>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</si>
  <si>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</si>
  <si>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</si>
  <si>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</si>
  <si>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</si>
  <si>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</si>
  <si>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</si>
  <si>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</si>
  <si>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</si>
  <si>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</si>
  <si>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</si>
  <si>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</si>
  <si>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</si>
  <si>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</si>
  <si>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</si>
  <si>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</si>
  <si>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</si>
  <si>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</si>
  <si>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</si>
  <si>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</si>
  <si>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</si>
  <si>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</si>
  <si>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</si>
  <si>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</si>
  <si>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</si>
  <si>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</si>
  <si>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</si>
  <si>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</si>
  <si>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</si>
  <si>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</si>
  <si>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</si>
  <si>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</si>
  <si>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</si>
  <si>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</si>
  <si>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</si>
  <si>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</si>
  <si>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</si>
  <si>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</si>
  <si>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</si>
  <si>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</si>
  <si>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</si>
  <si>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</si>
  <si>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</si>
  <si>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</si>
  <si>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</si>
  <si>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</si>
  <si>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</si>
  <si>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</si>
  <si>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</si>
  <si>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</si>
  <si>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</si>
  <si>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</si>
  <si>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</si>
  <si>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</si>
  <si>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</si>
  <si>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</si>
  <si>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</si>
  <si>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</si>
  <si>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</si>
  <si>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</si>
  <si>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</si>
  <si>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</si>
  <si>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</si>
  <si>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</si>
  <si>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</si>
  <si>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</si>
  <si>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</si>
  <si>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</si>
  <si>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</si>
  <si>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</si>
  <si>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</si>
  <si>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</si>
  <si>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</si>
  <si>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</si>
  <si>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</si>
  <si>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</si>
  <si>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</si>
  <si>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</si>
  <si>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</si>
  <si>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</si>
  <si>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</si>
  <si>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</si>
  <si>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</si>
  <si>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</si>
  <si>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</si>
  <si>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</si>
  <si>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</si>
  <si>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</si>
  <si>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</si>
  <si>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</si>
  <si>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</si>
  <si>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</si>
  <si>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</si>
  <si>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</si>
  <si>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</si>
  <si>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</si>
  <si>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</si>
  <si>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</si>
  <si>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</si>
  <si>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</si>
  <si>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</si>
  <si>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</si>
  <si>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</si>
  <si>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</si>
  <si>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</si>
  <si>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</si>
  <si>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</si>
  <si>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</si>
  <si>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</si>
  <si>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</si>
  <si>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</si>
  <si>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</si>
  <si>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</si>
  <si>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</si>
  <si>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</si>
  <si>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</si>
  <si>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</si>
  <si>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</si>
  <si>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</si>
  <si>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</si>
  <si>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</si>
  <si>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</si>
  <si>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</si>
  <si>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</si>
  <si>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</si>
  <si>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</si>
  <si>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</si>
  <si>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</si>
  <si>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</si>
  <si>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</si>
  <si>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</si>
  <si>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</si>
  <si>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</si>
  <si>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</si>
  <si>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</si>
  <si>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</si>
  <si>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</si>
  <si>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</si>
  <si>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</si>
  <si>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</si>
  <si>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</si>
  <si>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</si>
  <si>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</si>
  <si>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</si>
  <si>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</si>
  <si>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</si>
  <si>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</si>
  <si>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</si>
  <si>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</si>
  <si>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</si>
  <si>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</si>
  <si>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</si>
  <si>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</si>
  <si>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</si>
  <si>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</si>
  <si>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</si>
  <si>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</si>
  <si>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</si>
  <si>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</si>
  <si>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</si>
  <si>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</si>
  <si>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</si>
  <si>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</si>
  <si>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</si>
  <si>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</si>
  <si>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</si>
  <si>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</si>
  <si>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</si>
  <si>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</si>
  <si>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</si>
  <si>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</si>
  <si>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</si>
  <si>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</si>
  <si>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</si>
  <si>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</si>
  <si>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</si>
  <si>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</si>
  <si>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</si>
  <si>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</si>
  <si>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</si>
  <si>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</si>
  <si>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</si>
  <si>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</si>
  <si>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</si>
  <si>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</si>
  <si>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</si>
  <si>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</si>
  <si>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</si>
  <si>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</si>
  <si>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</si>
  <si>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</si>
  <si>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</si>
  <si>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</si>
  <si>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</si>
  <si>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</si>
  <si>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</si>
  <si>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</si>
  <si>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</si>
  <si>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</si>
  <si>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</si>
  <si>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</si>
  <si>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</si>
  <si>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</si>
  <si>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</si>
  <si>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</si>
  <si>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</si>
  <si>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</si>
  <si>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</si>
  <si>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</si>
  <si>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</si>
  <si>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</si>
  <si>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</si>
  <si>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</si>
  <si>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</si>
  <si>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</si>
  <si>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</si>
  <si>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</si>
  <si>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</si>
  <si>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</si>
  <si>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</si>
  <si>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</si>
  <si>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</si>
  <si>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</si>
  <si>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</si>
  <si>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</si>
  <si>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</si>
  <si>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</si>
  <si>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</si>
  <si>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</si>
  <si>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</si>
  <si>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</si>
  <si>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</si>
  <si>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</si>
  <si>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</si>
  <si>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</si>
  <si>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</si>
  <si>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</si>
  <si>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</si>
  <si>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</si>
  <si>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</si>
  <si>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</si>
  <si>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</si>
  <si>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</si>
  <si>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</si>
  <si>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</si>
  <si>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</si>
  <si>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</si>
  <si>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</si>
  <si>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</si>
  <si>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</si>
  <si>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</si>
  <si>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</si>
  <si>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</si>
  <si>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</si>
  <si>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</si>
  <si>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</si>
  <si>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</si>
  <si>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</si>
  <si>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</si>
  <si>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</si>
  <si>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</si>
  <si>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</si>
  <si>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</si>
  <si>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</si>
  <si>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</si>
  <si>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</si>
  <si>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</si>
  <si>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</si>
  <si>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</si>
  <si>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</si>
  <si>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</si>
  <si>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</si>
  <si>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</si>
  <si>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</si>
  <si>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</si>
  <si>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</si>
  <si>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</si>
  <si>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</si>
  <si>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</si>
  <si>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</si>
  <si>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</si>
  <si>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</si>
  <si>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</si>
  <si>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</si>
  <si>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</si>
  <si>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</si>
  <si>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</si>
  <si>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</si>
  <si>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</si>
  <si>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</si>
  <si>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</si>
  <si>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</si>
  <si>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</si>
  <si>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</si>
  <si>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</si>
  <si>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</si>
  <si>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</si>
  <si>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</si>
  <si>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</si>
  <si>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</si>
  <si>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</si>
  <si>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</si>
  <si>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</si>
  <si>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</si>
  <si>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</si>
  <si>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</si>
  <si>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</si>
  <si>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</si>
  <si>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</si>
  <si>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</si>
  <si>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</si>
  <si>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</si>
  <si>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</si>
  <si>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</si>
  <si>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</si>
  <si>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</si>
  <si>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</si>
  <si>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</si>
  <si>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</si>
  <si>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</si>
  <si>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</si>
  <si>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</si>
  <si>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</si>
  <si>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</si>
  <si>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</si>
  <si>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</si>
  <si>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</si>
  <si>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</si>
  <si>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</si>
  <si>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</si>
  <si>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</si>
  <si>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</si>
  <si>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</si>
  <si>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</si>
  <si>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</si>
  <si>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</si>
  <si>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</si>
  <si>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</si>
  <si>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</si>
  <si>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</si>
  <si>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</si>
  <si>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</si>
  <si>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</si>
  <si>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</si>
  <si>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</si>
  <si>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</si>
  <si>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</si>
  <si>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</si>
  <si>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</si>
  <si>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</si>
  <si>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</si>
  <si>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</si>
  <si>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</si>
  <si>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</si>
  <si>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</si>
  <si>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</si>
  <si>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</si>
  <si>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</si>
  <si>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</si>
  <si>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</si>
  <si>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</si>
  <si>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</si>
  <si>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</si>
  <si>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</si>
  <si>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</si>
  <si>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</si>
  <si>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</si>
  <si>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</si>
  <si>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</si>
  <si>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</si>
  <si>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</si>
  <si>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</si>
  <si>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</si>
  <si>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</si>
  <si>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</si>
  <si>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</si>
  <si>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</si>
  <si>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</si>
  <si>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</si>
  <si>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</si>
  <si>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</si>
  <si>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</si>
  <si>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</si>
  <si>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</si>
  <si>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</si>
  <si>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</si>
  <si>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</si>
  <si>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</si>
  <si>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</si>
  <si>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</si>
  <si>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</si>
  <si>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</si>
  <si>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</si>
  <si>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</si>
  <si>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</si>
  <si>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</si>
  <si>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</si>
  <si>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</si>
  <si>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</si>
  <si>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</si>
  <si>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</si>
  <si>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</si>
  <si>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</si>
  <si>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</si>
  <si>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</si>
  <si>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</si>
  <si>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</si>
  <si>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</si>
  <si>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</si>
  <si>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</si>
  <si>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</si>
  <si>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</si>
  <si>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</si>
  <si>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</si>
  <si>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</si>
  <si>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</si>
  <si>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</si>
  <si>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</si>
  <si>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</si>
  <si>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</si>
  <si>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</si>
  <si>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</si>
  <si>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</si>
  <si>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</si>
  <si>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</si>
  <si>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</si>
  <si>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</si>
  <si>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</si>
  <si>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</si>
  <si>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</si>
  <si>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</si>
  <si>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</si>
  <si>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</si>
  <si>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</si>
  <si>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</si>
  <si>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</si>
  <si>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</si>
  <si>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</si>
  <si>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</si>
  <si>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</si>
  <si>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</si>
  <si>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</si>
  <si>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</si>
  <si>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</si>
  <si>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</si>
  <si>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</si>
  <si>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</si>
  <si>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</si>
  <si>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</si>
  <si>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</si>
  <si>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</si>
  <si>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</si>
  <si>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</si>
  <si>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</si>
  <si>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</si>
  <si>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</si>
  <si>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</si>
  <si>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</si>
  <si>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</si>
  <si>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</si>
  <si>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</si>
  <si>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</si>
  <si>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</si>
  <si>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</si>
  <si>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</si>
  <si>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</si>
  <si>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</si>
  <si>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</si>
  <si>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</si>
  <si>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</si>
  <si>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</si>
  <si>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</si>
  <si>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</si>
  <si>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</si>
  <si>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</si>
  <si>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</si>
  <si>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</si>
  <si>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</si>
  <si>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</si>
  <si>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</si>
  <si>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</si>
  <si>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</si>
  <si>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</si>
  <si>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</si>
  <si>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</si>
  <si>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</si>
  <si>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</si>
  <si>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</si>
  <si>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</si>
  <si>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</si>
  <si>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</si>
  <si>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</si>
  <si>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</si>
  <si>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</si>
  <si>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</si>
  <si>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</si>
  <si>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</si>
  <si>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</si>
  <si>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</si>
  <si>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</si>
  <si>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</si>
  <si>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</si>
  <si>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</si>
  <si>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</si>
  <si>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</si>
  <si>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</si>
  <si>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</si>
  <si>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</si>
  <si>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</si>
  <si>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</si>
  <si>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</si>
  <si>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</si>
  <si>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</si>
  <si>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</si>
  <si>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</si>
  <si>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</si>
  <si>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</si>
  <si>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</si>
  <si>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</si>
  <si>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</si>
  <si>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</si>
  <si>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</si>
  <si>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</si>
  <si>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</si>
  <si>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</si>
  <si>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</si>
  <si>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</si>
  <si>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</si>
  <si>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</si>
  <si>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</si>
  <si>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</si>
  <si>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</si>
  <si>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</si>
  <si>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</si>
  <si>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</si>
  <si>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</si>
  <si>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</si>
  <si>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</si>
  <si>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</si>
  <si>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</si>
  <si>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</si>
  <si>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</si>
  <si>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</si>
  <si>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</si>
  <si>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</si>
  <si>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</si>
  <si>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</si>
  <si>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</si>
  <si>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</si>
  <si>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</si>
  <si>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</si>
  <si>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</si>
  <si>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</si>
  <si>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</si>
  <si>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</si>
  <si>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</si>
  <si>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</si>
  <si>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</si>
  <si>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</si>
  <si>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</si>
  <si>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</si>
  <si>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</si>
  <si>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</si>
  <si>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</si>
  <si>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</si>
  <si>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</si>
  <si>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</si>
  <si>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</si>
  <si>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</si>
  <si>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</si>
  <si>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</si>
  <si>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</si>
  <si>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</si>
  <si>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</si>
  <si>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</si>
  <si>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</si>
  <si>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</si>
  <si>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</si>
  <si>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</si>
  <si>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</si>
  <si>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</si>
  <si>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</si>
  <si>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</si>
  <si>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</si>
  <si>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</si>
  <si>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</si>
  <si>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</si>
  <si>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</si>
  <si>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</si>
  <si>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</si>
  <si>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</si>
  <si>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</si>
  <si>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</si>
  <si>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</si>
  <si>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</si>
  <si>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</si>
  <si>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</si>
  <si>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</si>
  <si>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</si>
  <si>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</si>
  <si>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</si>
  <si>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</si>
  <si>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</si>
  <si>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</si>
  <si>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</si>
  <si>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</si>
  <si>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</si>
  <si>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</si>
  <si>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</si>
  <si>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</si>
  <si>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</si>
  <si>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</si>
  <si>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</si>
  <si>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</si>
  <si>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</si>
  <si>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</si>
  <si>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</si>
  <si>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</si>
  <si>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</si>
  <si>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</si>
  <si>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</si>
  <si>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</si>
  <si>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</si>
  <si>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</si>
  <si>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</si>
  <si>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</si>
  <si>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</si>
  <si>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</si>
  <si>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</si>
  <si>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</si>
  <si>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</si>
  <si>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</si>
  <si>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</si>
  <si>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</si>
  <si>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</si>
  <si>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</si>
  <si>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</si>
  <si>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</si>
  <si>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</si>
  <si>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</si>
  <si>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</si>
  <si>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</si>
  <si>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</si>
  <si>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</si>
  <si>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</si>
  <si>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</si>
  <si>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</si>
  <si>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</si>
  <si>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</si>
  <si>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</si>
  <si>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</si>
  <si>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</si>
  <si>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</si>
  <si>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</si>
  <si>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</si>
  <si>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</si>
  <si>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</si>
  <si>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</si>
  <si>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</si>
  <si>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</si>
  <si>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</si>
  <si>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</si>
  <si>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</si>
  <si>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</si>
  <si>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</si>
  <si>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</si>
  <si>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</si>
  <si>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</si>
  <si>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</si>
  <si>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</si>
  <si>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</si>
  <si>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</si>
  <si>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</si>
  <si>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</si>
  <si>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</si>
  <si>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</si>
  <si>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</si>
  <si>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</si>
  <si>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</si>
  <si>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</si>
  <si>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</si>
  <si>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</si>
  <si>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</si>
  <si>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</si>
  <si>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</si>
  <si>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</si>
  <si>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</si>
  <si>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</si>
  <si>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</si>
  <si>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</si>
  <si>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</si>
  <si>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</si>
  <si>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</si>
  <si>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</si>
  <si>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</si>
  <si>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</si>
  <si>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</si>
  <si>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</si>
  <si>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</si>
  <si>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</si>
  <si>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</si>
  <si>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</si>
  <si>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</si>
  <si>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</si>
  <si>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</si>
  <si>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</si>
  <si>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</si>
  <si>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</si>
  <si>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</si>
  <si>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</si>
  <si>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</si>
  <si>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</si>
  <si>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</si>
  <si>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</si>
  <si>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</si>
  <si>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</si>
  <si>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</si>
  <si>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</si>
  <si>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</si>
  <si>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</si>
  <si>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</si>
  <si>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</si>
  <si>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</si>
  <si>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</si>
  <si>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</si>
  <si>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</si>
  <si>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</si>
  <si>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</si>
  <si>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</si>
  <si>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</si>
  <si>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</si>
  <si>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</si>
  <si>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</si>
  <si>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</si>
  <si>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</si>
  <si>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</si>
  <si>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</si>
  <si>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</si>
  <si>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</si>
  <si>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</si>
  <si>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</si>
  <si>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</si>
  <si>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</si>
  <si>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</si>
  <si>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</si>
  <si>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</si>
  <si>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</si>
  <si>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</si>
  <si>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</si>
  <si>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</si>
  <si>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</si>
  <si>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</si>
  <si>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</si>
  <si>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</si>
  <si>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</si>
  <si>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</si>
  <si>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</si>
  <si>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</si>
  <si>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</si>
  <si>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</si>
  <si>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</si>
  <si>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</si>
  <si>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</si>
  <si>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</si>
  <si>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</si>
  <si>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</si>
  <si>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</si>
  <si>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</si>
  <si>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</si>
  <si>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</si>
  <si>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</si>
  <si>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</si>
  <si>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</si>
  <si>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</si>
  <si>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</si>
  <si>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</si>
  <si>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</si>
  <si>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</si>
  <si>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</si>
  <si>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</si>
  <si>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</si>
  <si>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</si>
  <si>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</si>
  <si>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</si>
  <si>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</si>
  <si>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</si>
  <si>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</si>
  <si>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</si>
  <si>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</si>
  <si>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</si>
  <si>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</si>
  <si>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</si>
  <si>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</si>
  <si>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</si>
  <si>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</si>
  <si>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</si>
  <si>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</si>
  <si>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</si>
  <si>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</si>
  <si>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</si>
  <si>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</si>
  <si>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</si>
  <si>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</si>
  <si>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</si>
  <si>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</si>
  <si>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</si>
  <si>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</si>
  <si>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</si>
  <si>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</si>
  <si>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</si>
  <si>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</si>
  <si>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</si>
  <si>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</si>
  <si>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</si>
  <si>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</si>
  <si>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</si>
  <si>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</si>
  <si>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</si>
  <si>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</si>
  <si>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</si>
  <si>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</si>
  <si>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</si>
  <si>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</si>
  <si>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</si>
  <si>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</si>
  <si>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</si>
  <si>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</si>
  <si>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</si>
  <si>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</si>
  <si>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</si>
  <si>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</si>
  <si>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</si>
  <si>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</si>
  <si>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</si>
  <si>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</si>
  <si>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</si>
  <si>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</si>
  <si>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</si>
  <si>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</si>
  <si>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</si>
  <si>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</si>
  <si>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</si>
  <si>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</si>
  <si>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</si>
  <si>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</si>
  <si>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</si>
  <si>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</si>
  <si>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</si>
  <si>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</si>
  <si>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</si>
  <si>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</si>
  <si>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</si>
  <si>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</si>
  <si>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</si>
  <si>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</si>
  <si>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</si>
  <si>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</si>
  <si>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</si>
  <si>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</si>
  <si>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</si>
  <si>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</si>
  <si>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</si>
  <si>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</si>
  <si>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</si>
  <si>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</si>
  <si>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</si>
  <si>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</si>
  <si>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</si>
  <si>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</si>
  <si>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</si>
  <si>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</si>
  <si>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</si>
  <si>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</si>
  <si>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</si>
  <si>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</si>
  <si>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</si>
  <si>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</si>
  <si>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</si>
  <si>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</si>
  <si>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</si>
  <si>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</si>
  <si>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</si>
  <si>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</si>
  <si>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</si>
  <si>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</si>
  <si>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</si>
  <si>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</si>
  <si>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</si>
  <si>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</si>
  <si>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</si>
  <si>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</si>
  <si>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</si>
  <si>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</si>
  <si>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</si>
  <si>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</si>
  <si>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</si>
  <si>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</si>
  <si>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</si>
  <si>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</si>
  <si>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</si>
  <si>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</si>
  <si>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</si>
  <si>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</si>
  <si>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</si>
  <si>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</si>
  <si>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</si>
  <si>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</si>
  <si>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</si>
  <si>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</si>
  <si>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</si>
  <si>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</si>
  <si>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</si>
  <si>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</si>
  <si>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</si>
  <si>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</si>
  <si>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</si>
  <si>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</si>
  <si>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</si>
  <si>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</si>
  <si>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</si>
  <si>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</si>
  <si>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</si>
  <si>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</si>
  <si>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</si>
  <si>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</si>
  <si>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</si>
  <si>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</si>
  <si>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</si>
  <si>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</si>
  <si>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</si>
  <si>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</si>
  <si>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</si>
  <si>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</si>
  <si>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</si>
  <si>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</si>
  <si>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</si>
  <si>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</si>
  <si>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</si>
  <si>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</si>
  <si>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</si>
  <si>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</si>
  <si>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</si>
  <si>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</si>
  <si>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</si>
  <si>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</si>
  <si>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</si>
  <si>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</si>
  <si>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</si>
  <si>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</si>
  <si>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</si>
  <si>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</si>
  <si>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</si>
  <si>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</si>
  <si>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</si>
  <si>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</si>
  <si>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</si>
  <si>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</si>
  <si>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</si>
  <si>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</si>
  <si>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</si>
  <si>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</si>
  <si>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</si>
  <si>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</si>
  <si>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</si>
  <si>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</si>
  <si>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</si>
  <si>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</si>
  <si>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</si>
  <si>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</si>
  <si>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</si>
  <si>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</si>
  <si>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</si>
  <si>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</si>
  <si>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</si>
  <si>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</si>
  <si>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</si>
  <si>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</si>
  <si>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</si>
  <si>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</si>
  <si>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</si>
  <si>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</si>
  <si>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</si>
  <si>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</si>
  <si>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</si>
  <si>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</si>
  <si>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</si>
  <si>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</si>
  <si>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</si>
  <si>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</si>
  <si>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</si>
  <si>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</si>
  <si>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</si>
  <si>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</si>
  <si>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</si>
  <si>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</si>
  <si>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</si>
  <si>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</si>
  <si>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</si>
  <si>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</si>
  <si>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</si>
  <si>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</si>
  <si>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</si>
  <si>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</si>
  <si>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</si>
  <si>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</si>
  <si>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</si>
  <si>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</si>
  <si>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</si>
  <si>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</si>
  <si>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</si>
  <si>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</si>
  <si>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</si>
  <si>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</si>
  <si>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</si>
  <si>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</si>
  <si>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</si>
  <si>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</si>
  <si>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</si>
  <si>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</si>
  <si>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</si>
  <si>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</si>
  <si>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</si>
  <si>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</si>
  <si>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</si>
  <si>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</si>
  <si>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</si>
  <si>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</si>
  <si>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</si>
  <si>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</si>
  <si>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</si>
  <si>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</si>
  <si>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</si>
  <si>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</si>
  <si>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</si>
  <si>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</si>
  <si>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</si>
  <si>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</si>
  <si>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</si>
  <si>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</si>
  <si>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</si>
  <si>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</si>
  <si>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</si>
  <si>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</si>
  <si>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</si>
  <si>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</si>
  <si>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</si>
  <si>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</si>
  <si>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</si>
  <si>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</si>
  <si>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</si>
  <si>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</si>
  <si>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</si>
  <si>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</si>
  <si>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</si>
  <si>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</si>
  <si>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</si>
  <si>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</si>
  <si>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</si>
  <si>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</si>
  <si>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</si>
  <si>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</si>
  <si>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</si>
  <si>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</si>
  <si>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</si>
  <si>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</si>
  <si>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</si>
  <si>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</si>
  <si>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</si>
  <si>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</si>
  <si>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</si>
  <si>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</si>
  <si>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</si>
  <si>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</si>
  <si>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</si>
  <si>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</si>
  <si>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</si>
  <si>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</si>
  <si>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</si>
  <si>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</si>
  <si>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</si>
  <si>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</si>
  <si>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</si>
  <si>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</si>
  <si>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</si>
  <si>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</si>
  <si>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</si>
  <si>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</si>
  <si>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</si>
  <si>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</si>
  <si>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</si>
  <si>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</si>
  <si>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</si>
  <si>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</si>
  <si>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</si>
  <si>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</si>
  <si>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</si>
  <si>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</si>
  <si>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</si>
  <si>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</si>
  <si>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</si>
  <si>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</si>
  <si>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</si>
  <si>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</si>
  <si>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</si>
  <si>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</si>
  <si>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</si>
  <si>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</si>
  <si>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</si>
  <si>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</si>
  <si>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</si>
  <si>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</si>
  <si>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</si>
  <si>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</si>
  <si>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</si>
  <si>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</si>
  <si>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</si>
  <si>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</si>
  <si>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</si>
  <si>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</si>
  <si>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</si>
  <si>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</si>
  <si>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</si>
  <si>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</si>
  <si>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</si>
  <si>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</si>
  <si>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</si>
  <si>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</si>
  <si>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</si>
  <si>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</si>
  <si>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</si>
  <si>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</si>
  <si>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</si>
  <si>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</si>
  <si>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</si>
  <si>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</si>
  <si>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</si>
  <si>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</si>
  <si>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</si>
  <si>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</si>
  <si>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</si>
  <si>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</si>
  <si>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</si>
  <si>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</si>
  <si>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</si>
  <si>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</si>
  <si>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</si>
  <si>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</si>
  <si>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</si>
  <si>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</si>
  <si>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</si>
  <si>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</si>
  <si>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</si>
  <si>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</si>
  <si>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</si>
  <si>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</si>
  <si>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</si>
  <si>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</si>
  <si>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</si>
  <si>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</si>
  <si>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</si>
  <si>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</si>
  <si>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</si>
  <si>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</si>
  <si>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</si>
  <si>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</si>
  <si>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</si>
  <si>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</si>
  <si>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</si>
  <si>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</si>
  <si>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</si>
  <si>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</si>
  <si>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</si>
  <si>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</si>
  <si>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</si>
  <si>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</si>
  <si>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</si>
  <si>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</si>
  <si>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</si>
  <si>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</si>
  <si>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</si>
  <si>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</si>
  <si>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</si>
  <si>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</si>
  <si>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</si>
  <si>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</si>
  <si>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</si>
  <si>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</si>
  <si>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</si>
  <si>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</si>
  <si>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</si>
  <si>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</si>
  <si>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</si>
  <si>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</si>
  <si>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</si>
  <si>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</si>
  <si>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</si>
  <si>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</si>
  <si>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</si>
  <si>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</si>
  <si>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</si>
  <si>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</si>
  <si>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</si>
  <si>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</si>
  <si>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</si>
  <si>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</si>
  <si>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</si>
  <si>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</si>
  <si>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</si>
  <si>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</si>
  <si>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</si>
  <si>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</si>
  <si>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</si>
  <si>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</si>
  <si>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</si>
  <si>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</si>
  <si>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</si>
  <si>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</si>
  <si>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</si>
  <si>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</si>
  <si>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</si>
  <si>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</si>
  <si>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</si>
  <si>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</si>
  <si>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</si>
  <si>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</si>
  <si>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</si>
  <si>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</si>
  <si>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</si>
  <si>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</si>
  <si>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</si>
  <si>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</si>
  <si>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</si>
  <si>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</si>
  <si>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</si>
  <si>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</si>
  <si>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</si>
  <si>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</si>
  <si>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</si>
  <si>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</si>
  <si>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</si>
  <si>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</si>
  <si>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</si>
  <si>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</si>
  <si>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</si>
  <si>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</si>
  <si>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</si>
  <si>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</si>
  <si>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</si>
  <si>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</si>
  <si>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</si>
  <si>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</si>
  <si>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</si>
  <si>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</si>
  <si>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</si>
  <si>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</si>
  <si>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</si>
  <si>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</si>
  <si>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</si>
  <si>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</si>
  <si>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</si>
  <si>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</si>
  <si>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</si>
  <si>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</si>
  <si>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</si>
  <si>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</si>
  <si>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</si>
  <si>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</si>
  <si>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</si>
  <si>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</si>
  <si>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</si>
  <si>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</si>
  <si>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</si>
  <si>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</si>
  <si>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</si>
  <si>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</si>
  <si>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</si>
  <si>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</si>
  <si>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</si>
  <si>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</si>
  <si>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</si>
  <si>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</si>
  <si>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</si>
  <si>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</si>
  <si>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</si>
  <si>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</si>
  <si>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</si>
  <si>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</si>
  <si>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</si>
  <si>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</si>
  <si>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</si>
  <si>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</si>
  <si>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</si>
  <si>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</si>
  <si>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</si>
  <si>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</si>
  <si>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</si>
  <si>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</si>
  <si>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</si>
  <si>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</si>
  <si>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</si>
  <si>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</si>
  <si>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</si>
  <si>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</si>
  <si>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</si>
  <si>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</si>
  <si>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</si>
  <si>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</si>
  <si>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</si>
  <si>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</si>
  <si>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</si>
  <si>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</si>
  <si>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</si>
  <si>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</si>
  <si>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</si>
  <si>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</si>
  <si>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</si>
  <si>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</si>
  <si>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</si>
  <si>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</si>
  <si>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</si>
  <si>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</si>
  <si>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</si>
  <si>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</si>
  <si>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</si>
  <si>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</si>
  <si>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</si>
  <si>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</si>
  <si>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</si>
  <si>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</si>
  <si>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</si>
  <si>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</si>
  <si>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</si>
  <si>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</si>
  <si>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</si>
  <si>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</si>
  <si>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</si>
  <si>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</si>
  <si>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</si>
  <si>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</si>
  <si>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</si>
  <si>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</si>
  <si>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</si>
  <si>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</si>
  <si>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</si>
  <si>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</si>
  <si>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</si>
  <si>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</si>
  <si>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</si>
  <si>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</si>
  <si>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</si>
  <si>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</si>
  <si>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</si>
  <si>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</si>
  <si>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</si>
  <si>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</si>
  <si>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</si>
  <si>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</si>
  <si>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</si>
  <si>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</si>
  <si>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</si>
  <si>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</si>
  <si>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</si>
  <si>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</si>
  <si>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</si>
  <si>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</si>
  <si>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</si>
  <si>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</si>
  <si>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</si>
  <si>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</si>
  <si>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</si>
  <si>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</si>
  <si>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</si>
  <si>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</si>
  <si>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</si>
  <si>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</si>
  <si>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</si>
  <si>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</si>
  <si>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</si>
  <si>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</si>
  <si>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</si>
  <si>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</si>
  <si>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</si>
  <si>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</si>
  <si>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</si>
  <si>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</si>
  <si>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</si>
  <si>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</si>
  <si>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</si>
  <si>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</si>
  <si>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</si>
  <si>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</si>
  <si>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</si>
  <si>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</si>
  <si>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</si>
  <si>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</si>
  <si>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</si>
  <si>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</si>
  <si>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</si>
  <si>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</si>
  <si>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</si>
  <si>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</si>
  <si>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</si>
  <si>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</si>
  <si>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</si>
  <si>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</si>
  <si>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</si>
  <si>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</si>
  <si>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</si>
  <si>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</si>
  <si>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</si>
  <si>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</si>
  <si>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</si>
  <si>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</si>
  <si>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</si>
  <si>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</si>
  <si>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</si>
  <si>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</si>
  <si>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</si>
  <si>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</si>
  <si>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</si>
  <si>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</si>
  <si>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</si>
  <si>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</si>
  <si>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</si>
  <si>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</si>
  <si>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</si>
  <si>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</si>
  <si>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</si>
  <si>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</si>
  <si>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</si>
  <si>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</si>
  <si>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</si>
  <si>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</si>
  <si>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</si>
  <si>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</si>
  <si>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</si>
  <si>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</si>
  <si>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</si>
  <si>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</si>
  <si>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</si>
  <si>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</si>
  <si>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</si>
  <si>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</si>
  <si>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</si>
  <si>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</si>
  <si>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</si>
  <si>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</si>
  <si>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</si>
  <si>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</si>
  <si>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</si>
  <si>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</si>
  <si>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</si>
  <si>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</si>
  <si>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</si>
  <si>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</si>
  <si>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</si>
  <si>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</si>
  <si>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</si>
  <si>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</si>
  <si>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</si>
  <si>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</si>
  <si>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</si>
  <si>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</si>
  <si>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</si>
  <si>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</si>
  <si>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</si>
  <si>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</si>
  <si>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</si>
  <si>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</si>
  <si>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</si>
  <si>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</si>
  <si>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</si>
  <si>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</si>
  <si>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</si>
  <si>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</si>
  <si>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</si>
  <si>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</si>
  <si>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</si>
  <si>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</si>
  <si>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</si>
  <si>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</si>
  <si>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</si>
  <si>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</si>
  <si>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</si>
  <si>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</si>
  <si>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</si>
  <si>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</si>
  <si>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</si>
  <si>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</si>
  <si>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</si>
  <si>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</si>
  <si>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</si>
  <si>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</si>
  <si>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</si>
  <si>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</si>
  <si>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</si>
  <si>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</si>
  <si>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</si>
  <si>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</si>
  <si>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</si>
  <si>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</si>
  <si>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</si>
  <si>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</si>
  <si>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</si>
  <si>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</si>
  <si>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</si>
  <si>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</si>
  <si>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</si>
  <si>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</si>
  <si>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</si>
  <si>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</si>
  <si>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</si>
  <si>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</si>
  <si>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</si>
  <si>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</si>
  <si>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</si>
  <si>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</si>
  <si>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</si>
  <si>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</si>
  <si>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</si>
  <si>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</si>
  <si>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</si>
  <si>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</si>
  <si>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</si>
  <si>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</si>
  <si>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</si>
  <si>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</si>
  <si>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</si>
  <si>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</si>
  <si>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</si>
  <si>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</si>
  <si>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</si>
  <si>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</si>
  <si>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</si>
  <si>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</si>
  <si>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</si>
  <si>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</si>
  <si>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</si>
  <si>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</si>
  <si>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</si>
  <si>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</si>
  <si>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</si>
  <si>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</si>
  <si>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</si>
  <si>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</si>
  <si>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</si>
  <si>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</si>
  <si>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</si>
  <si>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</si>
  <si>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</si>
  <si>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</si>
  <si>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</si>
  <si>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</si>
  <si>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</si>
  <si>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</si>
  <si>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</si>
  <si>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</si>
  <si>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</si>
  <si>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</si>
  <si>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</si>
  <si>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</si>
  <si>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</si>
  <si>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</si>
  <si>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</si>
  <si>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</si>
  <si>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</si>
  <si>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</si>
  <si>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</si>
  <si>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</si>
  <si>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</si>
  <si>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</si>
  <si>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</si>
  <si>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</si>
  <si>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</si>
  <si>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</si>
  <si>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</si>
  <si>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</si>
  <si>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</si>
  <si>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</si>
  <si>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</si>
  <si>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</si>
  <si>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</si>
  <si>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</si>
  <si>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</si>
  <si>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</si>
  <si>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</si>
  <si>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</si>
  <si>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</si>
  <si>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</si>
  <si>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</si>
  <si>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</si>
  <si>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</si>
  <si>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</si>
  <si>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</si>
  <si>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</si>
  <si>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</si>
  <si>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</si>
  <si>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</si>
  <si>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</si>
  <si>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</si>
  <si>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</si>
  <si>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</si>
  <si>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</si>
  <si>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</si>
  <si>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</si>
  <si>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</si>
  <si>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</si>
  <si>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</si>
  <si>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</si>
  <si>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</si>
  <si>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</si>
  <si>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</si>
  <si>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</si>
  <si>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</si>
  <si>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</si>
  <si>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</si>
  <si>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</si>
  <si>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</si>
  <si>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</si>
  <si>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</si>
  <si>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</si>
  <si>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</si>
  <si>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</si>
  <si>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</si>
  <si>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</si>
  <si>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</si>
  <si>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</si>
  <si>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</si>
  <si>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</si>
  <si>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</si>
  <si>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</si>
  <si>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</si>
  <si>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</si>
  <si>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</si>
  <si>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</si>
  <si>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</si>
  <si>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</si>
  <si>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</si>
  <si>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</si>
  <si>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</si>
  <si>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</si>
  <si>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</si>
  <si>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</si>
  <si>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</si>
  <si>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</si>
  <si>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</si>
  <si>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</si>
  <si>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</si>
  <si>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</si>
  <si>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</si>
  <si>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</si>
  <si>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</si>
  <si>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</si>
  <si>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</si>
  <si>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</si>
  <si>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</si>
  <si>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</si>
  <si>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</si>
  <si>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</si>
  <si>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</si>
  <si>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</si>
  <si>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</si>
  <si>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</si>
  <si>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</si>
  <si>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</si>
  <si>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</si>
  <si>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</si>
  <si>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</si>
  <si>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</si>
  <si>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</si>
  <si>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</si>
  <si>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</si>
  <si>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</si>
  <si>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</si>
  <si>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</si>
  <si>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</si>
  <si>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</si>
  <si>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</si>
  <si>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</si>
  <si>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</si>
  <si>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</si>
  <si>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</si>
  <si>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</si>
  <si>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</si>
  <si>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</si>
  <si>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</si>
  <si>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</si>
  <si>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</si>
  <si>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</si>
  <si>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</si>
  <si>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</si>
  <si>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</si>
  <si>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</si>
  <si>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</si>
  <si>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</si>
  <si>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</si>
  <si>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</si>
  <si>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</si>
  <si>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</si>
  <si>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</si>
  <si>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</si>
  <si>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</si>
  <si>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</si>
  <si>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</si>
  <si>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</si>
  <si>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</si>
  <si>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</si>
  <si>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</si>
  <si>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</si>
  <si>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</si>
  <si>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</si>
  <si>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</si>
  <si>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</si>
  <si>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</si>
  <si>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</si>
  <si>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</si>
  <si>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</si>
  <si>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</si>
  <si>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</si>
  <si>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</si>
  <si>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</si>
  <si>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</si>
  <si>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</si>
  <si>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</si>
  <si>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</si>
  <si>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</si>
  <si>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</si>
  <si>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</si>
  <si>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</si>
  <si>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</si>
  <si>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</si>
  <si>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</si>
  <si>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</si>
  <si>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</si>
  <si>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</si>
  <si>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</si>
  <si>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</si>
  <si>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</si>
  <si>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</si>
  <si>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</si>
  <si>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</si>
  <si>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</si>
  <si>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</si>
  <si>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</si>
  <si>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</si>
  <si>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</si>
  <si>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</si>
  <si>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</si>
  <si>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</si>
  <si>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</si>
  <si>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</si>
  <si>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</si>
  <si>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</si>
  <si>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</si>
  <si>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</si>
  <si>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</si>
  <si>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</si>
  <si>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</si>
  <si>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</si>
  <si>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</si>
  <si>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</si>
  <si>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</si>
  <si>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</si>
  <si>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</si>
  <si>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</si>
  <si>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</si>
  <si>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</si>
  <si>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</si>
  <si>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</si>
  <si>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</si>
  <si>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</si>
  <si>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</si>
  <si>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</si>
  <si>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</si>
  <si>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</si>
  <si>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</si>
  <si>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</si>
  <si>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</si>
  <si>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</si>
  <si>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</si>
  <si>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</si>
  <si>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</si>
  <si>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</si>
  <si>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</si>
  <si>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</si>
  <si>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</si>
  <si>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</si>
  <si>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</si>
  <si>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</si>
  <si>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</si>
  <si>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</si>
  <si>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</si>
  <si>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</si>
  <si>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</si>
  <si>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</si>
  <si>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</si>
  <si>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</si>
  <si>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</si>
  <si>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</si>
  <si>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</si>
  <si>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</si>
  <si>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</si>
  <si>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</si>
  <si>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</si>
  <si>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</si>
  <si>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</si>
  <si>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</si>
  <si>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</si>
  <si>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</si>
  <si>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</si>
  <si>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</si>
  <si>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</si>
  <si>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</si>
  <si>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</si>
  <si>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</si>
  <si>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</si>
  <si>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</si>
  <si>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</si>
  <si>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</si>
  <si>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</si>
  <si>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</si>
  <si>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</si>
  <si>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</si>
  <si>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</si>
  <si>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</si>
  <si>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</si>
  <si>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</si>
  <si>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</si>
  <si>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</si>
  <si>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</si>
  <si>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</si>
  <si>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</si>
  <si>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</si>
  <si>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</si>
  <si>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</si>
  <si>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</si>
  <si>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</si>
  <si>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</si>
  <si>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</si>
  <si>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</si>
  <si>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</si>
  <si>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</si>
  <si>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</si>
  <si>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</si>
  <si>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</si>
  <si>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</si>
  <si>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</si>
  <si>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</si>
  <si>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</si>
  <si>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</si>
  <si>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</si>
  <si>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</si>
  <si>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</si>
  <si>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</si>
  <si>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</si>
  <si>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</si>
  <si>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</si>
  <si>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</si>
  <si>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</si>
  <si>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</si>
  <si>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</si>
  <si>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</si>
  <si>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</si>
  <si>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</si>
  <si>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</si>
  <si>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</si>
  <si>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</si>
  <si>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</si>
  <si>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</si>
  <si>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</si>
  <si>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</si>
  <si>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</si>
  <si>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</si>
  <si>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</si>
  <si>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</si>
  <si>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</si>
  <si>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</si>
  <si>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</si>
  <si>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</si>
  <si>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</si>
  <si>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</si>
  <si>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</si>
  <si>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</si>
  <si>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</si>
  <si>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</si>
  <si>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</si>
  <si>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</si>
  <si>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</si>
  <si>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</si>
  <si>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</si>
  <si>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</si>
  <si>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</si>
  <si>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</si>
  <si>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</si>
  <si>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</si>
  <si>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</si>
  <si>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</si>
  <si>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</si>
  <si>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</si>
  <si>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</si>
  <si>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</si>
  <si>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</si>
  <si>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</si>
  <si>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</si>
  <si>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</si>
  <si>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</si>
  <si>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</si>
  <si>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</si>
  <si>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</si>
  <si>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</si>
  <si>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</si>
  <si>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</si>
  <si>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</si>
  <si>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</si>
  <si>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</si>
  <si>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</si>
  <si>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</si>
  <si>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</si>
  <si>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</si>
  <si>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</si>
  <si>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</si>
  <si>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</si>
  <si>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</si>
  <si>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</si>
  <si>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</si>
  <si>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</si>
  <si>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</si>
  <si>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</si>
  <si>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</si>
  <si>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</si>
  <si>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</si>
  <si>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</si>
  <si>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</si>
  <si>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</si>
  <si>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</si>
  <si>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</si>
  <si>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</si>
  <si>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</si>
  <si>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</si>
  <si>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</si>
  <si>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</si>
  <si>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</si>
  <si>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</si>
  <si>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</si>
  <si>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</si>
  <si>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</si>
  <si>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</si>
  <si>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</si>
  <si>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</si>
  <si>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</si>
  <si>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</si>
  <si>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</si>
  <si>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</si>
  <si>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</si>
  <si>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</si>
  <si>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</si>
  <si>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</si>
  <si>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</si>
  <si>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</si>
  <si>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</si>
  <si>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</si>
  <si>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</si>
  <si>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</si>
  <si>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</si>
  <si>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</si>
  <si>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</si>
  <si>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</si>
  <si>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</si>
  <si>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</si>
  <si>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</si>
  <si>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</si>
  <si>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</si>
  <si>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</si>
  <si>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</si>
  <si>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</si>
  <si>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</si>
  <si>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</si>
  <si>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</si>
  <si>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</si>
  <si>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</si>
  <si>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</si>
  <si>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</si>
  <si>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</si>
  <si>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</si>
  <si>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</si>
  <si>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</si>
  <si>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</si>
  <si>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</si>
  <si>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</si>
  <si>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</si>
  <si>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</si>
  <si>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</si>
  <si>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</si>
  <si>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</si>
  <si>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</si>
  <si>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</si>
  <si>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</si>
  <si>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</si>
  <si>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</si>
  <si>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</si>
  <si>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</si>
  <si>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</si>
  <si>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</si>
  <si>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</si>
  <si>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</si>
  <si>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</si>
  <si>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</si>
  <si>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</si>
  <si>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</si>
  <si>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</si>
  <si>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</si>
  <si>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</si>
  <si>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</si>
  <si>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</si>
  <si>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</si>
  <si>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</si>
  <si>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</si>
  <si>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</si>
  <si>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</si>
  <si>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</si>
  <si>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</si>
  <si>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</si>
  <si>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</si>
  <si>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</si>
  <si>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</si>
  <si>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</si>
  <si>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</si>
  <si>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</si>
  <si>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</si>
  <si>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</si>
  <si>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</si>
  <si>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</si>
  <si>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</si>
  <si>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</si>
  <si>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</si>
  <si>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</si>
  <si>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</si>
  <si>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</si>
  <si>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</si>
  <si>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</si>
  <si>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</si>
  <si>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</si>
  <si>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</si>
  <si>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</si>
  <si>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</si>
  <si>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</si>
  <si>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</si>
  <si>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</si>
  <si>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</si>
  <si>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</si>
  <si>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</si>
  <si>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</si>
  <si>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</si>
  <si>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</si>
  <si>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</si>
  <si>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</si>
  <si>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</si>
  <si>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</si>
  <si>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</si>
  <si>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</si>
  <si>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</si>
  <si>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</si>
  <si>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</si>
  <si>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</si>
  <si>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</si>
  <si>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</si>
  <si>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</si>
  <si>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</si>
  <si>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</si>
  <si>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</si>
  <si>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</si>
  <si>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</si>
  <si>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</si>
  <si>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</si>
  <si>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</si>
  <si>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</si>
  <si>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</si>
  <si>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</si>
  <si>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</si>
  <si>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</si>
  <si>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</si>
  <si>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</si>
  <si>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</si>
  <si>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</si>
  <si>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</si>
  <si>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</si>
  <si>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</si>
  <si>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</si>
  <si>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</si>
  <si>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</si>
  <si>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</si>
  <si>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</si>
  <si>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</si>
  <si>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</si>
  <si>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</si>
  <si>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</si>
  <si>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</si>
  <si>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</si>
  <si>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</si>
  <si>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</si>
  <si>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</si>
  <si>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</si>
  <si>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</si>
  <si>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</si>
  <si>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</si>
  <si>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</si>
  <si>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</si>
  <si>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</si>
  <si>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</si>
  <si>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</si>
  <si>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</si>
  <si>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</si>
  <si>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</si>
  <si>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</si>
  <si>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</si>
  <si>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</si>
  <si>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</si>
  <si>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</si>
  <si>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</si>
  <si>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</si>
  <si>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</si>
  <si>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</si>
  <si>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</si>
  <si>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</si>
  <si>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</si>
  <si>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</si>
  <si>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</si>
  <si>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</si>
  <si>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</si>
  <si>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</si>
  <si>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</si>
  <si>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</si>
  <si>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</si>
  <si>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</si>
  <si>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</si>
  <si>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</si>
  <si>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</si>
  <si>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</si>
  <si>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</si>
  <si>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</si>
  <si>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</si>
  <si>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</si>
  <si>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</si>
  <si>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</si>
  <si>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</si>
  <si>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</si>
  <si>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</si>
  <si>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</si>
  <si>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</si>
  <si>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</si>
  <si>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</si>
  <si>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</si>
  <si>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</si>
  <si>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</si>
  <si>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</si>
  <si>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</si>
  <si>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</si>
  <si>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</si>
  <si>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</si>
  <si>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</si>
  <si>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</si>
  <si>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</si>
  <si>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</si>
  <si>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</si>
  <si>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</si>
  <si>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</si>
  <si>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</si>
  <si>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</si>
  <si>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</si>
  <si>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</si>
  <si>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</si>
  <si>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</si>
  <si>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</si>
  <si>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</si>
  <si>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</si>
  <si>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</si>
  <si>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</si>
  <si>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</si>
  <si>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</si>
  <si>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</si>
  <si>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</si>
  <si>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</si>
  <si>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</si>
  <si>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</si>
  <si>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</si>
  <si>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</si>
  <si>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</si>
  <si>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</si>
  <si>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</si>
  <si>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</si>
  <si>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</si>
  <si>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</si>
  <si>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</si>
  <si>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</si>
  <si>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</si>
  <si>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</si>
  <si>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</si>
  <si>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</si>
  <si>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</si>
  <si>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</si>
  <si>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</si>
  <si>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</si>
  <si>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</si>
  <si>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</si>
  <si>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</si>
  <si>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</si>
  <si>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</si>
  <si>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</si>
  <si>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</si>
  <si>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</si>
  <si>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</si>
  <si>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</si>
  <si>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</si>
  <si>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</si>
  <si>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</si>
  <si>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</si>
  <si>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</si>
  <si>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</si>
  <si>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</si>
  <si>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</si>
  <si>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</si>
  <si>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</si>
  <si>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</si>
  <si>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</si>
  <si>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</si>
  <si>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</si>
  <si>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</si>
  <si>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</si>
  <si>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</si>
  <si>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</si>
  <si>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</si>
  <si>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</si>
  <si>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</si>
  <si>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</si>
  <si>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</si>
  <si>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</si>
  <si>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</si>
  <si>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</si>
  <si>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</si>
  <si>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</si>
  <si>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</si>
  <si>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</si>
  <si>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</si>
  <si>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</si>
  <si>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</si>
  <si>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</si>
  <si>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</si>
  <si>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</si>
  <si>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</si>
  <si>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</si>
  <si>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</si>
  <si>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</si>
  <si>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</si>
  <si>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</si>
  <si>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</si>
  <si>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</si>
  <si>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</si>
  <si>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</si>
  <si>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</si>
  <si>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</si>
  <si>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</si>
  <si>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</si>
  <si>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</si>
  <si>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</si>
  <si>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</si>
  <si>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</si>
  <si>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</si>
  <si>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</si>
  <si>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</si>
  <si>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</si>
  <si>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</si>
  <si>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</si>
  <si>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</si>
  <si>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</si>
  <si>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</si>
  <si>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</si>
  <si>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</si>
  <si>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</si>
  <si>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</si>
  <si>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</si>
  <si>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</si>
  <si>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</si>
  <si>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</si>
  <si>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</si>
  <si>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</si>
  <si>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</si>
  <si>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</si>
  <si>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</si>
  <si>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</si>
  <si>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</si>
  <si>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</si>
  <si>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</si>
  <si>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</si>
  <si>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</si>
  <si>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</si>
  <si>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</si>
  <si>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</si>
  <si>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</si>
  <si>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</si>
  <si>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</si>
  <si>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</si>
  <si>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</si>
  <si>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</si>
  <si>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</si>
  <si>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</si>
  <si>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</si>
  <si>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</si>
  <si>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</si>
  <si>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</si>
  <si>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</si>
  <si>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</si>
  <si>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</si>
  <si>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</si>
  <si>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</si>
  <si>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</si>
  <si>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</si>
  <si>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</si>
  <si>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</si>
  <si>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</si>
  <si>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</si>
  <si>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</si>
  <si>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</si>
  <si>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</si>
  <si>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</si>
  <si>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</si>
  <si>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</si>
  <si>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</si>
  <si>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</si>
  <si>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</si>
  <si>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</si>
  <si>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</si>
  <si>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</si>
  <si>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</si>
  <si>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</si>
  <si>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</si>
  <si>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</si>
  <si>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</si>
  <si>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</si>
  <si>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</si>
  <si>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</si>
  <si>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</si>
  <si>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</si>
  <si>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</si>
  <si>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</si>
  <si>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</si>
  <si>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</si>
  <si>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</si>
  <si>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</si>
  <si>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</si>
  <si>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</si>
  <si>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</si>
  <si>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</si>
  <si>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</si>
  <si>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</si>
  <si>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</si>
  <si>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</si>
  <si>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</si>
  <si>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</si>
  <si>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</si>
  <si>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</si>
  <si>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</si>
  <si>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</si>
  <si>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</si>
  <si>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</si>
  <si>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</si>
  <si>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</si>
  <si>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</si>
  <si>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</si>
  <si>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</si>
  <si>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</si>
  <si>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</si>
  <si>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</si>
  <si>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</si>
  <si>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</si>
  <si>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</si>
  <si>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</si>
  <si>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</si>
  <si>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</si>
  <si>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</si>
  <si>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</si>
  <si>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</si>
  <si>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</si>
  <si>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</si>
  <si>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</si>
  <si>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</si>
  <si>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</si>
  <si>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</si>
  <si>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</si>
  <si>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</si>
  <si>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</si>
  <si>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</si>
  <si>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</si>
  <si>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</si>
  <si>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</si>
  <si>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</si>
  <si>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</si>
  <si>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</si>
  <si>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</si>
  <si>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</si>
  <si>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</si>
  <si>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</si>
  <si>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</si>
  <si>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</si>
  <si>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</si>
  <si>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</si>
  <si>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</si>
  <si>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</si>
  <si>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</si>
  <si>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</si>
  <si>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</si>
  <si>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</si>
  <si>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</si>
  <si>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</si>
  <si>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</si>
  <si>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</si>
  <si>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</si>
  <si>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</si>
  <si>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</si>
  <si>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</si>
  <si>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</si>
  <si>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</si>
  <si>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</si>
  <si>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</si>
  <si>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</si>
  <si>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</si>
  <si>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</si>
  <si>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</si>
  <si>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</si>
  <si>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</si>
  <si>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</si>
  <si>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</si>
  <si>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</si>
  <si>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</si>
  <si>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</si>
  <si>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</si>
  <si>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</si>
  <si>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</si>
  <si>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</si>
  <si>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</si>
  <si>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</si>
  <si>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</si>
  <si>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</si>
  <si>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</si>
  <si>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</si>
  <si>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</si>
  <si>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</si>
  <si>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</si>
  <si>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</si>
  <si>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</si>
  <si>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</si>
  <si>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</si>
  <si>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</si>
  <si>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</si>
  <si>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</si>
  <si>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</si>
  <si>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</si>
  <si>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</si>
  <si>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</si>
  <si>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</si>
  <si>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</si>
  <si>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</si>
  <si>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</si>
  <si>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</si>
  <si>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</si>
  <si>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</si>
  <si>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</si>
  <si>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</si>
  <si>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</si>
  <si>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</si>
  <si>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</si>
  <si>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</si>
  <si>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</si>
  <si>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</si>
  <si>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</si>
  <si>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</si>
  <si>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</si>
  <si>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</si>
  <si>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</si>
  <si>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</si>
  <si>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</si>
  <si>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</si>
  <si>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</si>
  <si>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</si>
  <si>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</si>
  <si>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</si>
  <si>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</si>
  <si>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</si>
  <si>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</si>
  <si>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</si>
  <si>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</si>
  <si>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</si>
  <si>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</si>
  <si>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</si>
  <si>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</si>
  <si>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</si>
  <si>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</si>
  <si>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</si>
  <si>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</si>
  <si>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</si>
  <si>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</si>
  <si>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</si>
  <si>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</si>
  <si>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</si>
  <si>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</si>
  <si>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</si>
  <si>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</si>
  <si>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</si>
  <si>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</si>
  <si>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</si>
  <si>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</si>
  <si>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</si>
  <si>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</si>
  <si>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</si>
  <si>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</si>
  <si>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</si>
  <si>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</si>
  <si>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</si>
  <si>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</si>
  <si>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</si>
  <si>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</si>
  <si>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</si>
  <si>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</si>
  <si>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</si>
  <si>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</si>
  <si>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</si>
  <si>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</si>
  <si>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</si>
  <si>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</si>
  <si>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</si>
  <si>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</si>
  <si>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</si>
  <si>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</si>
  <si>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</si>
  <si>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</si>
  <si>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</si>
  <si>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</si>
  <si>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</si>
  <si>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</si>
  <si>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</si>
  <si>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</si>
  <si>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</si>
  <si>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</si>
  <si>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</si>
  <si>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</si>
  <si>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</si>
  <si>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</si>
  <si>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</si>
  <si>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</si>
  <si>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</si>
  <si>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</si>
  <si>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</si>
  <si>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</si>
  <si>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</si>
  <si>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</si>
  <si>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</si>
  <si>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</si>
  <si>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</si>
  <si>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</si>
  <si>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</si>
  <si>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</si>
  <si>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</si>
  <si>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</si>
  <si>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</si>
  <si>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</si>
  <si>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</si>
  <si>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</si>
  <si>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</si>
  <si>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</si>
  <si>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</si>
  <si>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</si>
  <si>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</si>
  <si>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</si>
  <si>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</si>
  <si>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</si>
  <si>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</si>
  <si>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</si>
  <si>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</si>
  <si>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</si>
  <si>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</si>
  <si>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</si>
  <si>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</si>
  <si>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</si>
  <si>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</si>
  <si>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</si>
  <si>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</si>
  <si>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</si>
  <si>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</si>
  <si>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</si>
  <si>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</si>
  <si>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</si>
  <si>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TIERRA BLANCA, GUANAJUATO</t>
  </si>
  <si>
    <t>Al 31 de diciembre de 2019 y al 31 de diciembre de 2020 (b)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</si>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</sst>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" xfId="0" applyBorder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0" fillId="0" borderId="0" xfId="0" applyFont="1"/>
    <xf numFmtId="0" fontId="9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9" fillId="0" borderId="1" xfId="0" applyFont="1" applyFill="1" applyBorder="1" applyAlignment="1">
      <alignment horizontal="left" indent="3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/>
    <xf numFmtId="43" fontId="0" fillId="0" borderId="0" xfId="0" applyNumberFormat="1"/>
    <xf numFmtId="0" fontId="8" fillId="0" borderId="2" xfId="0" applyFont="1" applyBorder="1"/>
    <xf numFmtId="0" fontId="0" fillId="0" borderId="0" xfId="0" applyFont="1"/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 indent="3"/>
    </xf>
    <xf numFmtId="0" fontId="9" fillId="0" borderId="1" xfId="0" applyFont="1" applyFill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indent="2"/>
    </xf>
    <xf numFmtId="0" fontId="9" fillId="0" borderId="1" xfId="0" applyFont="1" applyFill="1" applyBorder="1" applyProtection="1">
      <protection locked="0"/>
    </xf>
    <xf numFmtId="0" fontId="0" fillId="0" borderId="12" xfId="0" applyFont="1" applyFill="1" applyBorder="1" applyAlignment="1">
      <alignment horizontal="left" indent="3"/>
    </xf>
    <xf numFmtId="0" fontId="0" fillId="3" borderId="1" xfId="0" applyFill="1" applyBorder="1" applyAlignment="1">
      <alignment horizontal="left" indent="9"/>
    </xf>
    <xf numFmtId="0" fontId="0" fillId="3" borderId="1" xfId="0" applyFill="1" applyBorder="1" applyAlignment="1">
      <alignment horizontal="left" indent="3"/>
    </xf>
    <xf numFmtId="0" fontId="9" fillId="3" borderId="1" xfId="0" applyFont="1" applyFill="1" applyBorder="1" applyAlignment="1">
      <alignment horizontal="left" indent="3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0" fillId="0" borderId="4" xfId="0" applyFill="1" applyBorder="1"/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6"/>
    </xf>
    <xf numFmtId="0" fontId="0" fillId="0" borderId="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2" xfId="0" applyBorder="1" applyAlignment="1">
      <alignment vertical="center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9"/>
    </xf>
    <xf numFmtId="0" fontId="9" fillId="0" borderId="14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9" fillId="3" borderId="11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horizontal="left" vertical="center" indent="3"/>
    </xf>
    <xf numFmtId="0" fontId="9" fillId="3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0" fontId="9" fillId="0" borderId="12" xfId="0" applyFont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5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3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left" vertical="center" indent="5"/>
    </xf>
    <xf numFmtId="0" fontId="0" fillId="0" borderId="15" xfId="0" applyFill="1" applyBorder="1" applyAlignment="1">
      <alignment horizontal="left" vertical="center" indent="7"/>
    </xf>
    <xf numFmtId="0" fontId="0" fillId="0" borderId="15" xfId="0" applyFill="1" applyBorder="1" applyAlignment="1" applyProtection="1">
      <alignment horizontal="left" vertical="center" indent="5"/>
      <protection locked="0"/>
    </xf>
    <xf numFmtId="0" fontId="8" fillId="0" borderId="2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0" fontId="8" fillId="0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 indent="3"/>
    </xf>
    <xf numFmtId="0" fontId="14" fillId="4" borderId="24" xfId="0" applyFont="1" applyFill="1" applyBorder="1" applyAlignment="1"/>
    <xf numFmtId="0" fontId="15" fillId="4" borderId="24" xfId="0" applyFont="1" applyFill="1" applyBorder="1" applyAlignment="1"/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wrapText="1" indent="3"/>
    </xf>
    <xf numFmtId="0" fontId="0" fillId="0" borderId="11" xfId="0" applyFill="1" applyBorder="1" applyProtection="1">
      <protection locked="0"/>
    </xf>
    <xf numFmtId="0" fontId="15" fillId="4" borderId="24" xfId="0" applyFont="1" applyFill="1" applyBorder="1"/>
    <xf numFmtId="0" fontId="0" fillId="0" borderId="11" xfId="0" applyFill="1" applyBorder="1" applyAlignment="1" applyProtection="1">
      <alignment vertical="center"/>
      <protection locked="0"/>
    </xf>
    <xf numFmtId="0" fontId="15" fillId="4" borderId="24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9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0" fontId="0" fillId="4" borderId="24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6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10" fontId="0" fillId="0" borderId="1" xfId="0" applyNumberFormat="1" applyFill="1" applyBorder="1" applyAlignment="1" applyProtection="1">
      <alignment vertical="center"/>
      <protection locked="0"/>
    </xf>
    <xf numFmtId="9" fontId="0" fillId="0" borderId="1" xfId="0" applyNumberFormat="1" applyFill="1" applyBorder="1" applyAlignment="1" applyProtection="1">
      <alignment vertical="center"/>
      <protection locked="0"/>
    </xf>
    <xf numFmtId="0" fontId="13" fillId="0" borderId="0" xfId="0" applyFont="1"/>
    <xf numFmtId="43" fontId="7" fillId="0" borderId="1" xfId="1" applyFont="1" applyFill="1" applyBorder="1" applyAlignment="1" applyProtection="1">
      <alignment horizontal="right" vertical="center"/>
      <protection locked="0"/>
    </xf>
    <xf numFmtId="43" fontId="9" fillId="0" borderId="1" xfId="0" applyNumberFormat="1" applyFont="1" applyFill="1" applyBorder="1" applyAlignment="1" applyProtection="1">
      <alignment vertical="center"/>
      <protection locked="0"/>
    </xf>
    <xf numFmtId="43" fontId="0" fillId="0" borderId="1" xfId="1" applyFont="1" applyFill="1" applyBorder="1" applyAlignment="1" applyProtection="1">
      <alignment horizontal="right" vertical="center"/>
      <protection locked="0"/>
    </xf>
    <xf numFmtId="43" fontId="7" fillId="0" borderId="1" xfId="1" applyFont="1" applyFill="1" applyBorder="1" applyProtection="1">
      <protection locked="0"/>
    </xf>
    <xf numFmtId="43" fontId="13" fillId="0" borderId="1" xfId="1" applyFont="1" applyFill="1" applyBorder="1" applyProtection="1">
      <protection locked="0"/>
    </xf>
    <xf numFmtId="43" fontId="7" fillId="0" borderId="1" xfId="1" applyFont="1" applyFill="1" applyBorder="1" applyAlignment="1" applyProtection="1">
      <alignment vertical="center"/>
      <protection locked="0"/>
    </xf>
    <xf numFmtId="43" fontId="0" fillId="0" borderId="1" xfId="1" applyFont="1" applyFill="1" applyBorder="1" applyAlignment="1" applyProtection="1">
      <alignment vertical="center"/>
      <protection locked="0"/>
    </xf>
    <xf numFmtId="43" fontId="9" fillId="0" borderId="1" xfId="1" applyFont="1" applyFill="1" applyBorder="1" applyAlignment="1" applyProtection="1">
      <alignment vertical="center"/>
      <protection locked="0"/>
    </xf>
    <xf numFmtId="43" fontId="0" fillId="0" borderId="1" xfId="1" applyFont="1" applyFill="1" applyBorder="1"/>
    <xf numFmtId="43" fontId="0" fillId="4" borderId="24" xfId="1" applyFont="1" applyFill="1" applyBorder="1"/>
    <xf numFmtId="43" fontId="0" fillId="0" borderId="1" xfId="1" applyFont="1" applyBorder="1"/>
    <xf numFmtId="43" fontId="0" fillId="0" borderId="1" xfId="1" applyFont="1" applyFill="1" applyBorder="1" applyAlignment="1">
      <alignment vertical="center"/>
    </xf>
    <xf numFmtId="43" fontId="0" fillId="0" borderId="2" xfId="1" applyFont="1" applyFill="1" applyBorder="1"/>
    <xf numFmtId="43" fontId="0" fillId="3" borderId="1" xfId="1" applyFont="1" applyFill="1" applyBorder="1" applyAlignment="1" applyProtection="1">
      <alignment vertical="center"/>
      <protection locked="0"/>
    </xf>
    <xf numFmtId="43" fontId="7" fillId="3" borderId="1" xfId="1" applyFont="1" applyFill="1" applyBorder="1" applyAlignment="1" applyProtection="1">
      <alignment vertical="center"/>
      <protection locked="0"/>
    </xf>
    <xf numFmtId="43" fontId="9" fillId="3" borderId="1" xfId="1" applyFont="1" applyFill="1" applyBorder="1" applyAlignment="1" applyProtection="1">
      <alignment vertical="center"/>
      <protection locked="0"/>
    </xf>
    <xf numFmtId="43" fontId="0" fillId="0" borderId="0" xfId="1" applyFont="1"/>
    <xf numFmtId="43" fontId="0" fillId="3" borderId="1" xfId="1" applyFont="1" applyFill="1" applyBorder="1" applyAlignment="1">
      <alignment vertical="center"/>
    </xf>
    <xf numFmtId="43" fontId="0" fillId="0" borderId="2" xfId="1" applyFont="1" applyBorder="1"/>
    <xf numFmtId="43" fontId="7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7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opLeftCell="A7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67" t="s">
        <v>829</v>
      </c>
      <c r="B1" s="168"/>
      <c r="C1" s="168"/>
      <c r="D1" s="168"/>
      <c r="E1" s="169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70" t="s">
        <v>3302</v>
      </c>
      <c r="D3" s="170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TIERRA BLANCA, GUANAJUATO, Gobierno del Estado de Guanajuato</v>
      </c>
    </row>
    <row r="7" spans="2:3" x14ac:dyDescent="0.25">
      <c r="C7" t="str">
        <f>CONCATENATE(ENTE_PUBLICO," (a)")</f>
        <v>MUNICIPIO DE TIERRA BLANCA, GUANAJUATO,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1167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2020</v>
      </c>
    </row>
    <row r="14" spans="2:3" x14ac:dyDescent="0.25">
      <c r="B14" t="s">
        <v>793</v>
      </c>
      <c r="C14" s="24" t="s">
        <v>3303</v>
      </c>
    </row>
    <row r="15" spans="2:3" x14ac:dyDescent="0.25">
      <c r="C15" s="24">
        <v>4</v>
      </c>
    </row>
    <row r="16" spans="2:3" x14ac:dyDescent="0.2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2020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2020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2020 (m = g – l)</v>
      </c>
    </row>
    <row r="20" spans="4:9" ht="60" x14ac:dyDescent="0.25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1" t="str">
        <f>CONCATENATE("Saldo al 31 de diciembre de ",ANIO_INFORME-1, " (d)")</f>
        <v>Saldo al 31 de diciembre de 2019 (d)</v>
      </c>
    </row>
    <row r="23" spans="4:9" x14ac:dyDescent="0.25">
      <c r="D23" s="33">
        <f>ANIO_INFORME + 1</f>
        <v>2021</v>
      </c>
      <c r="E23" s="34" t="str">
        <f>CONCATENATE(ANIO_INFORME + 2, " (d)")</f>
        <v>2022 (d)</v>
      </c>
      <c r="F23" s="34" t="str">
        <f>CONCATENATE(ANIO_INFORME + 3, " (d)")</f>
        <v>2023 (d)</v>
      </c>
      <c r="G23" s="34" t="str">
        <f>CONCATENATE(ANIO_INFORME + 4, " (d)")</f>
        <v>2024 (d)</v>
      </c>
      <c r="H23" s="34" t="str">
        <f>CONCATENATE(ANIO_INFORME + 5, " (d)")</f>
        <v>2025 (d)</v>
      </c>
      <c r="I23" s="34" t="str">
        <f>CONCATENATE(ANIO_INFORME + 6, " (d)")</f>
        <v>2026 (d)</v>
      </c>
    </row>
    <row r="25" spans="4:9" x14ac:dyDescent="0.25">
      <c r="D25" s="35" t="str">
        <f>CONCATENATE(ANIO_INFORME - 5, " ",CHAR(185)," (c)")</f>
        <v>2015 ¹ (c)</v>
      </c>
      <c r="E25" s="35" t="str">
        <f>CONCATENATE(ANIO_INFORME - 4, " ",CHAR(185)," (c)")</f>
        <v>2016 ¹ (c)</v>
      </c>
      <c r="F25" s="35" t="str">
        <f>CONCATENATE(ANIO_INFORME - 3, " ",CHAR(185)," (c)")</f>
        <v>2017 ¹ (c)</v>
      </c>
      <c r="G25" s="35" t="str">
        <f>CONCATENATE(ANIO_INFORME - 2, " ",CHAR(185)," (c)")</f>
        <v>2018 ¹ (c)</v>
      </c>
      <c r="H25" s="35" t="str">
        <f>CONCATENATE(ANIO_INFORME - 1, " ",CHAR(185)," (c)")</f>
        <v>2019 ¹ (c)</v>
      </c>
      <c r="I25" s="33">
        <f>ANIO_INFORME</f>
        <v>2020</v>
      </c>
    </row>
    <row r="26" spans="4:9" x14ac:dyDescent="0.25">
      <c r="D26" s="89"/>
    </row>
    <row r="29" spans="4:9" x14ac:dyDescent="0.25">
      <c r="D29" t="s">
        <v>3143</v>
      </c>
      <c r="E29" t="s">
        <v>3144</v>
      </c>
    </row>
    <row r="30" spans="4:9" x14ac:dyDescent="0.25">
      <c r="D30" s="135">
        <v>-1.7976931348623099E+100</v>
      </c>
      <c r="E30" s="135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36">
        <v>36526</v>
      </c>
      <c r="E33" s="136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zoomScale="60" zoomScaleNormal="60" workbookViewId="0">
      <selection activeCell="B37" sqref="B3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7" customFormat="1" ht="37.5" customHeight="1" x14ac:dyDescent="0.25">
      <c r="A1" s="183" t="s">
        <v>545</v>
      </c>
      <c r="B1" s="183"/>
      <c r="C1" s="183"/>
      <c r="D1" s="183"/>
      <c r="E1" s="183"/>
      <c r="F1" s="183"/>
    </row>
    <row r="2" spans="1:6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3"/>
    </row>
    <row r="3" spans="1:6" x14ac:dyDescent="0.25">
      <c r="A3" s="174" t="s">
        <v>117</v>
      </c>
      <c r="B3" s="175"/>
      <c r="C3" s="175"/>
      <c r="D3" s="175"/>
      <c r="E3" s="175"/>
      <c r="F3" s="176"/>
    </row>
    <row r="4" spans="1:6" x14ac:dyDescent="0.25">
      <c r="A4" s="177" t="str">
        <f>PERIODO_INFORME</f>
        <v>Al 31 de diciembre de 2019 y al 31 de diciembre de 2020 (b)</v>
      </c>
      <c r="B4" s="178"/>
      <c r="C4" s="178"/>
      <c r="D4" s="178"/>
      <c r="E4" s="178"/>
      <c r="F4" s="179"/>
    </row>
    <row r="5" spans="1:6" x14ac:dyDescent="0.25">
      <c r="A5" s="180" t="s">
        <v>118</v>
      </c>
      <c r="B5" s="181"/>
      <c r="C5" s="181"/>
      <c r="D5" s="181"/>
      <c r="E5" s="181"/>
      <c r="F5" s="182"/>
    </row>
    <row r="6" spans="1:6" s="3" customFormat="1" ht="30" x14ac:dyDescent="0.25">
      <c r="A6" s="128" t="s">
        <v>3284</v>
      </c>
      <c r="B6" s="129" t="str">
        <f>ANIO</f>
        <v>2020 (d)</v>
      </c>
      <c r="C6" s="127" t="str">
        <f>ULTIMO</f>
        <v>31 de diciembre de 2019 (e)</v>
      </c>
      <c r="D6" s="130" t="s">
        <v>0</v>
      </c>
      <c r="E6" s="129" t="str">
        <f>ANIO</f>
        <v>2020 (d)</v>
      </c>
      <c r="F6" s="127" t="str">
        <f>ULTIMO</f>
        <v>31 de diciembre de 2019 (e)</v>
      </c>
    </row>
    <row r="7" spans="1:6" x14ac:dyDescent="0.25">
      <c r="A7" s="91" t="s">
        <v>1</v>
      </c>
      <c r="B7" s="84"/>
      <c r="C7" s="84"/>
      <c r="D7" s="95" t="s">
        <v>52</v>
      </c>
      <c r="E7" s="84"/>
      <c r="F7" s="84"/>
    </row>
    <row r="8" spans="1:6" x14ac:dyDescent="0.25">
      <c r="A8" s="38" t="s">
        <v>2</v>
      </c>
      <c r="B8" s="54"/>
      <c r="C8" s="54"/>
      <c r="D8" s="96" t="s">
        <v>53</v>
      </c>
      <c r="E8" s="54"/>
      <c r="F8" s="54"/>
    </row>
    <row r="9" spans="1:6" x14ac:dyDescent="0.25">
      <c r="A9" s="92" t="s">
        <v>3</v>
      </c>
      <c r="B9" s="146">
        <f>SUM(B10:B16)</f>
        <v>22135041.379999999</v>
      </c>
      <c r="C9" s="146">
        <f>SUM(C10:C16)</f>
        <v>22527699.109999999</v>
      </c>
      <c r="D9" s="97" t="s">
        <v>54</v>
      </c>
      <c r="E9" s="146">
        <f>SUM(E10:E18)</f>
        <v>9407542.0500000007</v>
      </c>
      <c r="F9" s="146">
        <f>SUM(F10:F18)</f>
        <v>8120676.46</v>
      </c>
    </row>
    <row r="10" spans="1:6" x14ac:dyDescent="0.25">
      <c r="A10" s="93" t="s">
        <v>4</v>
      </c>
      <c r="B10" s="146"/>
      <c r="C10" s="146"/>
      <c r="D10" s="98" t="s">
        <v>55</v>
      </c>
      <c r="E10" s="144">
        <v>2328546.64</v>
      </c>
      <c r="F10" s="144">
        <v>2431624.86</v>
      </c>
    </row>
    <row r="11" spans="1:6" x14ac:dyDescent="0.25">
      <c r="A11" s="93" t="s">
        <v>5</v>
      </c>
      <c r="B11" s="144">
        <v>20190113.469999999</v>
      </c>
      <c r="C11" s="144">
        <v>18336015.390000001</v>
      </c>
      <c r="D11" s="98" t="s">
        <v>56</v>
      </c>
      <c r="E11" s="144">
        <v>561958.17000000004</v>
      </c>
      <c r="F11" s="144">
        <v>1001957.54</v>
      </c>
    </row>
    <row r="12" spans="1:6" x14ac:dyDescent="0.25">
      <c r="A12" s="93" t="s">
        <v>6</v>
      </c>
      <c r="B12" s="144">
        <v>196400.17</v>
      </c>
      <c r="C12" s="144">
        <v>260549.09</v>
      </c>
      <c r="D12" s="98" t="s">
        <v>57</v>
      </c>
      <c r="E12" s="144">
        <v>555569.12</v>
      </c>
      <c r="F12" s="144">
        <v>1424637.63</v>
      </c>
    </row>
    <row r="13" spans="1:6" x14ac:dyDescent="0.25">
      <c r="A13" s="93" t="s">
        <v>7</v>
      </c>
      <c r="B13" s="146"/>
      <c r="C13" s="146"/>
      <c r="D13" s="98" t="s">
        <v>58</v>
      </c>
      <c r="E13" s="146"/>
      <c r="F13" s="146"/>
    </row>
    <row r="14" spans="1:6" x14ac:dyDescent="0.25">
      <c r="A14" s="93" t="s">
        <v>8</v>
      </c>
      <c r="B14" s="144">
        <v>1748527.74</v>
      </c>
      <c r="C14" s="144">
        <v>3931134.63</v>
      </c>
      <c r="D14" s="98" t="s">
        <v>59</v>
      </c>
      <c r="E14" s="144">
        <v>1217642.1599999999</v>
      </c>
      <c r="F14" s="144">
        <v>897944.36</v>
      </c>
    </row>
    <row r="15" spans="1:6" x14ac:dyDescent="0.25">
      <c r="A15" s="93" t="s">
        <v>9</v>
      </c>
      <c r="B15" s="146"/>
      <c r="C15" s="146"/>
      <c r="D15" s="98" t="s">
        <v>60</v>
      </c>
      <c r="E15" s="146"/>
      <c r="F15" s="146"/>
    </row>
    <row r="16" spans="1:6" x14ac:dyDescent="0.25">
      <c r="A16" s="93" t="s">
        <v>10</v>
      </c>
      <c r="B16" s="146"/>
      <c r="C16" s="146"/>
      <c r="D16" s="98" t="s">
        <v>61</v>
      </c>
      <c r="E16" s="144">
        <v>771308.96</v>
      </c>
      <c r="F16" s="144">
        <v>623850.75</v>
      </c>
    </row>
    <row r="17" spans="1:6" x14ac:dyDescent="0.25">
      <c r="A17" s="92" t="s">
        <v>11</v>
      </c>
      <c r="B17" s="146">
        <f>SUM(B18:B24)</f>
        <v>1430644.77</v>
      </c>
      <c r="C17" s="146">
        <f>SUM(C18:C24)</f>
        <v>1597286.27</v>
      </c>
      <c r="D17" s="98" t="s">
        <v>62</v>
      </c>
      <c r="E17" s="146"/>
      <c r="F17" s="146"/>
    </row>
    <row r="18" spans="1:6" x14ac:dyDescent="0.25">
      <c r="A18" s="94" t="s">
        <v>12</v>
      </c>
      <c r="B18" s="146"/>
      <c r="C18" s="146"/>
      <c r="D18" s="98" t="s">
        <v>63</v>
      </c>
      <c r="E18" s="144">
        <v>3972517</v>
      </c>
      <c r="F18" s="144">
        <v>1740661.32</v>
      </c>
    </row>
    <row r="19" spans="1:6" x14ac:dyDescent="0.25">
      <c r="A19" s="94" t="s">
        <v>13</v>
      </c>
      <c r="B19" s="144">
        <v>431927.38</v>
      </c>
      <c r="C19" s="144">
        <v>434717.95</v>
      </c>
      <c r="D19" s="97" t="s">
        <v>64</v>
      </c>
      <c r="E19" s="146">
        <f>SUM(E20:E22)</f>
        <v>0</v>
      </c>
      <c r="F19" s="146">
        <f>SUM(F20:F22)</f>
        <v>0</v>
      </c>
    </row>
    <row r="20" spans="1:6" x14ac:dyDescent="0.25">
      <c r="A20" s="94" t="s">
        <v>14</v>
      </c>
      <c r="B20" s="144">
        <v>0</v>
      </c>
      <c r="C20" s="144">
        <v>24200</v>
      </c>
      <c r="D20" s="98" t="s">
        <v>65</v>
      </c>
      <c r="E20" s="144">
        <v>0</v>
      </c>
      <c r="F20" s="144">
        <v>0</v>
      </c>
    </row>
    <row r="21" spans="1:6" x14ac:dyDescent="0.25">
      <c r="A21" s="94" t="s">
        <v>15</v>
      </c>
      <c r="B21" s="146"/>
      <c r="C21" s="146"/>
      <c r="D21" s="98" t="s">
        <v>66</v>
      </c>
      <c r="E21" s="144">
        <v>0</v>
      </c>
      <c r="F21" s="144">
        <v>0</v>
      </c>
    </row>
    <row r="22" spans="1:6" x14ac:dyDescent="0.25">
      <c r="A22" s="94" t="s">
        <v>16</v>
      </c>
      <c r="B22" s="146"/>
      <c r="C22" s="146"/>
      <c r="D22" s="98" t="s">
        <v>67</v>
      </c>
      <c r="E22" s="144">
        <v>0</v>
      </c>
      <c r="F22" s="144">
        <v>0</v>
      </c>
    </row>
    <row r="23" spans="1:6" x14ac:dyDescent="0.25">
      <c r="A23" s="94" t="s">
        <v>17</v>
      </c>
      <c r="B23" s="146"/>
      <c r="C23" s="146"/>
      <c r="D23" s="97" t="s">
        <v>68</v>
      </c>
      <c r="E23" s="146">
        <f>E24+E25</f>
        <v>0</v>
      </c>
      <c r="F23" s="146">
        <f>F24+F25</f>
        <v>0</v>
      </c>
    </row>
    <row r="24" spans="1:6" x14ac:dyDescent="0.25">
      <c r="A24" s="94" t="s">
        <v>18</v>
      </c>
      <c r="B24" s="144">
        <v>998717.39</v>
      </c>
      <c r="C24" s="144">
        <v>1138368.32</v>
      </c>
      <c r="D24" s="98" t="s">
        <v>69</v>
      </c>
      <c r="E24" s="144">
        <v>0</v>
      </c>
      <c r="F24" s="144">
        <v>0</v>
      </c>
    </row>
    <row r="25" spans="1:6" x14ac:dyDescent="0.25">
      <c r="A25" s="92" t="s">
        <v>19</v>
      </c>
      <c r="B25" s="146">
        <f>SUM(B26:B30)</f>
        <v>2101551.29</v>
      </c>
      <c r="C25" s="146">
        <f>SUM(C26:C30)</f>
        <v>6427362.5199999996</v>
      </c>
      <c r="D25" s="98" t="s">
        <v>70</v>
      </c>
      <c r="E25" s="144">
        <v>0</v>
      </c>
      <c r="F25" s="144">
        <v>0</v>
      </c>
    </row>
    <row r="26" spans="1:6" x14ac:dyDescent="0.25">
      <c r="A26" s="94" t="s">
        <v>20</v>
      </c>
      <c r="B26" s="144">
        <v>107800</v>
      </c>
      <c r="C26" s="144">
        <v>107800</v>
      </c>
      <c r="D26" s="97" t="s">
        <v>71</v>
      </c>
      <c r="E26" s="144">
        <v>0</v>
      </c>
      <c r="F26" s="144">
        <v>0</v>
      </c>
    </row>
    <row r="27" spans="1:6" x14ac:dyDescent="0.25">
      <c r="A27" s="94" t="s">
        <v>21</v>
      </c>
      <c r="B27" s="146"/>
      <c r="C27" s="146"/>
      <c r="D27" s="97" t="s">
        <v>72</v>
      </c>
      <c r="E27" s="146">
        <f>SUM(E28:E30)</f>
        <v>0</v>
      </c>
      <c r="F27" s="146">
        <f>SUM(F28:F30)</f>
        <v>3000000</v>
      </c>
    </row>
    <row r="28" spans="1:6" x14ac:dyDescent="0.25">
      <c r="A28" s="94" t="s">
        <v>22</v>
      </c>
      <c r="B28" s="146"/>
      <c r="C28" s="146"/>
      <c r="D28" s="98" t="s">
        <v>73</v>
      </c>
      <c r="E28" s="144">
        <v>0</v>
      </c>
      <c r="F28" s="144">
        <v>0</v>
      </c>
    </row>
    <row r="29" spans="1:6" x14ac:dyDescent="0.25">
      <c r="A29" s="94" t="s">
        <v>23</v>
      </c>
      <c r="B29" s="144">
        <v>1993751.29</v>
      </c>
      <c r="C29" s="144">
        <v>6319562.5199999996</v>
      </c>
      <c r="D29" s="98" t="s">
        <v>74</v>
      </c>
      <c r="E29" s="144">
        <v>0</v>
      </c>
      <c r="F29" s="144">
        <v>0</v>
      </c>
    </row>
    <row r="30" spans="1:6" x14ac:dyDescent="0.25">
      <c r="A30" s="94" t="s">
        <v>24</v>
      </c>
      <c r="B30" s="146"/>
      <c r="C30" s="146"/>
      <c r="D30" s="98" t="s">
        <v>75</v>
      </c>
      <c r="E30" s="144">
        <v>0</v>
      </c>
      <c r="F30" s="144">
        <v>3000000</v>
      </c>
    </row>
    <row r="31" spans="1:6" x14ac:dyDescent="0.25">
      <c r="A31" s="92" t="s">
        <v>25</v>
      </c>
      <c r="B31" s="146">
        <f>SUM(B32:B36)</f>
        <v>0</v>
      </c>
      <c r="C31" s="146">
        <f>SUM(C32:C36)</f>
        <v>0</v>
      </c>
      <c r="D31" s="97" t="s">
        <v>76</v>
      </c>
      <c r="E31" s="146">
        <f>SUM(E32:E37)</f>
        <v>0</v>
      </c>
      <c r="F31" s="146">
        <f>SUM(F32:F37)</f>
        <v>0</v>
      </c>
    </row>
    <row r="32" spans="1:6" x14ac:dyDescent="0.25">
      <c r="A32" s="94" t="s">
        <v>26</v>
      </c>
      <c r="B32" s="144">
        <v>0</v>
      </c>
      <c r="C32" s="144">
        <v>0</v>
      </c>
      <c r="D32" s="98" t="s">
        <v>77</v>
      </c>
      <c r="E32" s="146"/>
      <c r="F32" s="146"/>
    </row>
    <row r="33" spans="1:6" x14ac:dyDescent="0.25">
      <c r="A33" s="94" t="s">
        <v>27</v>
      </c>
      <c r="B33" s="146"/>
      <c r="C33" s="146"/>
      <c r="D33" s="98" t="s">
        <v>78</v>
      </c>
      <c r="E33" s="146"/>
      <c r="F33" s="146"/>
    </row>
    <row r="34" spans="1:6" x14ac:dyDescent="0.25">
      <c r="A34" s="94" t="s">
        <v>28</v>
      </c>
      <c r="B34" s="146"/>
      <c r="C34" s="146"/>
      <c r="D34" s="98" t="s">
        <v>79</v>
      </c>
      <c r="E34" s="146"/>
      <c r="F34" s="146"/>
    </row>
    <row r="35" spans="1:6" x14ac:dyDescent="0.25">
      <c r="A35" s="94" t="s">
        <v>29</v>
      </c>
      <c r="B35" s="146"/>
      <c r="C35" s="146"/>
      <c r="D35" s="98" t="s">
        <v>80</v>
      </c>
      <c r="E35" s="146"/>
      <c r="F35" s="146"/>
    </row>
    <row r="36" spans="1:6" x14ac:dyDescent="0.25">
      <c r="A36" s="94" t="s">
        <v>30</v>
      </c>
      <c r="B36" s="146"/>
      <c r="C36" s="146"/>
      <c r="D36" s="98" t="s">
        <v>81</v>
      </c>
      <c r="E36" s="146"/>
      <c r="F36" s="146"/>
    </row>
    <row r="37" spans="1:6" x14ac:dyDescent="0.25">
      <c r="A37" s="92" t="s">
        <v>31</v>
      </c>
      <c r="B37" s="144">
        <v>17550</v>
      </c>
      <c r="C37" s="144">
        <v>17550</v>
      </c>
      <c r="D37" s="98" t="s">
        <v>82</v>
      </c>
      <c r="E37" s="146"/>
      <c r="F37" s="146"/>
    </row>
    <row r="38" spans="1:6" x14ac:dyDescent="0.25">
      <c r="A38" s="92" t="s">
        <v>119</v>
      </c>
      <c r="B38" s="146">
        <f>SUM(B39:B40)</f>
        <v>0</v>
      </c>
      <c r="C38" s="146">
        <f>SUM(C39:C40)</f>
        <v>0</v>
      </c>
      <c r="D38" s="97" t="s">
        <v>83</v>
      </c>
      <c r="E38" s="146">
        <f>SUM(E39:E41)</f>
        <v>0</v>
      </c>
      <c r="F38" s="146">
        <f>SUM(F39:F41)</f>
        <v>0</v>
      </c>
    </row>
    <row r="39" spans="1:6" x14ac:dyDescent="0.25">
      <c r="A39" s="94" t="s">
        <v>32</v>
      </c>
      <c r="B39" s="144">
        <v>0</v>
      </c>
      <c r="C39" s="144">
        <v>0</v>
      </c>
      <c r="D39" s="98" t="s">
        <v>84</v>
      </c>
      <c r="E39" s="144">
        <v>0</v>
      </c>
      <c r="F39" s="144">
        <v>0</v>
      </c>
    </row>
    <row r="40" spans="1:6" x14ac:dyDescent="0.25">
      <c r="A40" s="94" t="s">
        <v>33</v>
      </c>
      <c r="B40" s="144">
        <v>0</v>
      </c>
      <c r="C40" s="144">
        <v>0</v>
      </c>
      <c r="D40" s="98" t="s">
        <v>85</v>
      </c>
      <c r="E40" s="144">
        <v>0</v>
      </c>
      <c r="F40" s="144">
        <v>0</v>
      </c>
    </row>
    <row r="41" spans="1:6" x14ac:dyDescent="0.25">
      <c r="A41" s="92" t="s">
        <v>34</v>
      </c>
      <c r="B41" s="146">
        <f>SUM(B42:B45)</f>
        <v>0</v>
      </c>
      <c r="C41" s="146">
        <f>SUM(C42:C45)</f>
        <v>0</v>
      </c>
      <c r="D41" s="98" t="s">
        <v>86</v>
      </c>
      <c r="E41" s="144">
        <v>0</v>
      </c>
      <c r="F41" s="144">
        <v>0</v>
      </c>
    </row>
    <row r="42" spans="1:6" x14ac:dyDescent="0.25">
      <c r="A42" s="94" t="s">
        <v>35</v>
      </c>
      <c r="B42" s="146"/>
      <c r="C42" s="146"/>
      <c r="D42" s="97" t="s">
        <v>87</v>
      </c>
      <c r="E42" s="146">
        <f>SUM(E43:E45)</f>
        <v>0</v>
      </c>
      <c r="F42" s="146">
        <f>SUM(F43:F45)</f>
        <v>0</v>
      </c>
    </row>
    <row r="43" spans="1:6" x14ac:dyDescent="0.25">
      <c r="A43" s="94" t="s">
        <v>36</v>
      </c>
      <c r="B43" s="146"/>
      <c r="C43" s="146"/>
      <c r="D43" s="98" t="s">
        <v>88</v>
      </c>
      <c r="E43" s="144">
        <v>0</v>
      </c>
      <c r="F43" s="144">
        <v>0</v>
      </c>
    </row>
    <row r="44" spans="1:6" x14ac:dyDescent="0.25">
      <c r="A44" s="94" t="s">
        <v>37</v>
      </c>
      <c r="B44" s="146"/>
      <c r="C44" s="146"/>
      <c r="D44" s="98" t="s">
        <v>89</v>
      </c>
      <c r="E44" s="144">
        <v>0</v>
      </c>
      <c r="F44" s="144">
        <v>0</v>
      </c>
    </row>
    <row r="45" spans="1:6" x14ac:dyDescent="0.25">
      <c r="A45" s="94" t="s">
        <v>38</v>
      </c>
      <c r="B45" s="146"/>
      <c r="C45" s="146"/>
      <c r="D45" s="98" t="s">
        <v>90</v>
      </c>
      <c r="E45" s="144">
        <v>0</v>
      </c>
      <c r="F45" s="144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5">
        <f>B9+B17+B25+B31+B38+B41+B37</f>
        <v>25684787.439999998</v>
      </c>
      <c r="C47" s="145">
        <f>C9+C17+C25+C31+C37</f>
        <v>30569897.899999999</v>
      </c>
      <c r="D47" s="96" t="s">
        <v>91</v>
      </c>
      <c r="E47" s="61">
        <f>E9+E19+E23+E26+E27+E31+E38+E42</f>
        <v>9407542.0500000007</v>
      </c>
      <c r="F47" s="61">
        <f>F9+F19+F23+F26+F27+F31+F38+F42</f>
        <v>11120676.460000001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6" t="s">
        <v>92</v>
      </c>
      <c r="E49" s="54"/>
      <c r="F49" s="54"/>
    </row>
    <row r="50" spans="1:6" x14ac:dyDescent="0.25">
      <c r="A50" s="92" t="s">
        <v>41</v>
      </c>
      <c r="B50" s="144">
        <v>0</v>
      </c>
      <c r="C50" s="144">
        <v>0</v>
      </c>
      <c r="D50" s="97" t="s">
        <v>93</v>
      </c>
      <c r="E50" s="144">
        <v>0</v>
      </c>
      <c r="F50" s="144">
        <v>0</v>
      </c>
    </row>
    <row r="51" spans="1:6" x14ac:dyDescent="0.25">
      <c r="A51" s="92" t="s">
        <v>42</v>
      </c>
      <c r="B51" s="144">
        <v>18236.63</v>
      </c>
      <c r="C51" s="144">
        <v>18236.63</v>
      </c>
      <c r="D51" s="97" t="s">
        <v>94</v>
      </c>
      <c r="E51" s="144">
        <v>0</v>
      </c>
      <c r="F51" s="144">
        <v>0</v>
      </c>
    </row>
    <row r="52" spans="1:6" x14ac:dyDescent="0.25">
      <c r="A52" s="92" t="s">
        <v>43</v>
      </c>
      <c r="B52" s="144">
        <v>311128482.72000003</v>
      </c>
      <c r="C52" s="144">
        <v>293312968.49000001</v>
      </c>
      <c r="D52" s="97" t="s">
        <v>95</v>
      </c>
      <c r="E52" s="144">
        <v>186050</v>
      </c>
      <c r="F52" s="144">
        <v>186050</v>
      </c>
    </row>
    <row r="53" spans="1:6" x14ac:dyDescent="0.25">
      <c r="A53" s="92" t="s">
        <v>44</v>
      </c>
      <c r="B53" s="144">
        <v>20576314.16</v>
      </c>
      <c r="C53" s="144">
        <v>20095283.489999998</v>
      </c>
      <c r="D53" s="97" t="s">
        <v>96</v>
      </c>
      <c r="E53" s="144">
        <v>0</v>
      </c>
      <c r="F53" s="144">
        <v>0</v>
      </c>
    </row>
    <row r="54" spans="1:6" x14ac:dyDescent="0.25">
      <c r="A54" s="92" t="s">
        <v>45</v>
      </c>
      <c r="B54" s="144">
        <v>387224.3</v>
      </c>
      <c r="C54" s="144">
        <v>387224.3</v>
      </c>
      <c r="D54" s="97" t="s">
        <v>97</v>
      </c>
      <c r="E54" s="144"/>
      <c r="F54" s="144">
        <v>-32990.559999999998</v>
      </c>
    </row>
    <row r="55" spans="1:6" x14ac:dyDescent="0.25">
      <c r="A55" s="92" t="s">
        <v>46</v>
      </c>
      <c r="B55" s="144">
        <v>-7804851.25</v>
      </c>
      <c r="C55" s="144">
        <v>-7804851.25</v>
      </c>
      <c r="D55" s="37" t="s">
        <v>98</v>
      </c>
      <c r="E55" s="144">
        <v>0</v>
      </c>
      <c r="F55" s="144">
        <v>0</v>
      </c>
    </row>
    <row r="56" spans="1:6" x14ac:dyDescent="0.25">
      <c r="A56" s="92" t="s">
        <v>47</v>
      </c>
      <c r="B56" s="144">
        <v>12411580.1</v>
      </c>
      <c r="C56" s="144">
        <v>12411580.1</v>
      </c>
      <c r="D56" s="54"/>
      <c r="E56" s="54"/>
      <c r="F56" s="54"/>
    </row>
    <row r="57" spans="1:6" x14ac:dyDescent="0.25">
      <c r="A57" s="92" t="s">
        <v>48</v>
      </c>
      <c r="B57" s="144">
        <v>0</v>
      </c>
      <c r="C57" s="144">
        <v>0</v>
      </c>
      <c r="D57" s="96" t="s">
        <v>99</v>
      </c>
      <c r="E57" s="61">
        <f>SUM(E50:E55)</f>
        <v>186050</v>
      </c>
      <c r="F57" s="61">
        <f>SUM(F50:F55)</f>
        <v>153059.44</v>
      </c>
    </row>
    <row r="58" spans="1:6" x14ac:dyDescent="0.25">
      <c r="A58" s="92" t="s">
        <v>49</v>
      </c>
      <c r="B58" s="144">
        <v>0</v>
      </c>
      <c r="C58" s="144">
        <v>0</v>
      </c>
      <c r="D58" s="54"/>
      <c r="E58" s="54"/>
      <c r="F58" s="54"/>
    </row>
    <row r="59" spans="1:6" x14ac:dyDescent="0.25">
      <c r="A59" s="54"/>
      <c r="B59" s="54"/>
      <c r="C59" s="54"/>
      <c r="D59" s="96" t="s">
        <v>100</v>
      </c>
      <c r="E59" s="61">
        <f>E47+E57</f>
        <v>9593592.0500000007</v>
      </c>
      <c r="F59" s="61">
        <f>F47+F57</f>
        <v>11273735.9</v>
      </c>
    </row>
    <row r="60" spans="1:6" x14ac:dyDescent="0.25">
      <c r="A60" s="55" t="s">
        <v>50</v>
      </c>
      <c r="B60" s="61">
        <f>SUM(B50:B58)</f>
        <v>336716986.66000009</v>
      </c>
      <c r="C60" s="61">
        <f>SUM(C50:C58)</f>
        <v>318420441.76000005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0"/>
      <c r="F61" s="90"/>
    </row>
    <row r="62" spans="1:6" x14ac:dyDescent="0.25">
      <c r="A62" s="55" t="s">
        <v>51</v>
      </c>
      <c r="B62" s="61">
        <f>SUM(B47+B60)</f>
        <v>362401774.10000008</v>
      </c>
      <c r="C62" s="61">
        <f>SUM(C47+C60)</f>
        <v>348990339.66000003</v>
      </c>
      <c r="D62" s="54"/>
      <c r="E62" s="54"/>
      <c r="F62" s="54"/>
    </row>
    <row r="63" spans="1:6" x14ac:dyDescent="0.25">
      <c r="A63" s="54"/>
      <c r="B63" s="54"/>
      <c r="C63" s="54"/>
      <c r="D63" s="99" t="s">
        <v>102</v>
      </c>
      <c r="E63" s="77">
        <f>SUM(E64:E66)</f>
        <v>18704088.579999998</v>
      </c>
      <c r="F63" s="77">
        <f>SUM(F64:F66)</f>
        <v>18704088.579999998</v>
      </c>
    </row>
    <row r="64" spans="1:6" x14ac:dyDescent="0.25">
      <c r="A64" s="54"/>
      <c r="B64" s="54"/>
      <c r="C64" s="54"/>
      <c r="D64" s="100" t="s">
        <v>103</v>
      </c>
      <c r="E64" s="144">
        <v>18583052.469999999</v>
      </c>
      <c r="F64" s="144">
        <v>18583052.469999999</v>
      </c>
    </row>
    <row r="65" spans="1:6" x14ac:dyDescent="0.25">
      <c r="A65" s="54"/>
      <c r="B65" s="54"/>
      <c r="C65" s="54"/>
      <c r="D65" s="41" t="s">
        <v>104</v>
      </c>
      <c r="E65" s="144">
        <v>121036.11</v>
      </c>
      <c r="F65" s="144">
        <v>121036.11</v>
      </c>
    </row>
    <row r="66" spans="1:6" x14ac:dyDescent="0.25">
      <c r="A66" s="54"/>
      <c r="B66" s="54"/>
      <c r="C66" s="54"/>
      <c r="D66" s="100" t="s">
        <v>105</v>
      </c>
      <c r="E66" s="144">
        <v>0</v>
      </c>
      <c r="F66" s="144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99" t="s">
        <v>106</v>
      </c>
      <c r="E68" s="77">
        <f>SUM(E69:E73)</f>
        <v>350942080.13</v>
      </c>
      <c r="F68" s="77">
        <f>SUM(F69:F73)</f>
        <v>319012515.18000001</v>
      </c>
    </row>
    <row r="69" spans="1:6" x14ac:dyDescent="0.25">
      <c r="A69" s="12"/>
      <c r="B69" s="54"/>
      <c r="C69" s="54"/>
      <c r="D69" s="100" t="s">
        <v>107</v>
      </c>
      <c r="E69" s="144">
        <v>31947973.620000001</v>
      </c>
      <c r="F69" s="144">
        <v>31508530.370000001</v>
      </c>
    </row>
    <row r="70" spans="1:6" x14ac:dyDescent="0.25">
      <c r="A70" s="12"/>
      <c r="B70" s="54"/>
      <c r="C70" s="54"/>
      <c r="D70" s="100" t="s">
        <v>108</v>
      </c>
      <c r="E70" s="144">
        <v>318994106.50999999</v>
      </c>
      <c r="F70" s="144">
        <v>287503984.81</v>
      </c>
    </row>
    <row r="71" spans="1:6" x14ac:dyDescent="0.25">
      <c r="A71" s="12"/>
      <c r="B71" s="54"/>
      <c r="C71" s="54"/>
      <c r="D71" s="100" t="s">
        <v>109</v>
      </c>
      <c r="E71" s="144">
        <v>0</v>
      </c>
      <c r="F71" s="144">
        <v>0</v>
      </c>
    </row>
    <row r="72" spans="1:6" x14ac:dyDescent="0.25">
      <c r="A72" s="12"/>
      <c r="B72" s="54"/>
      <c r="C72" s="54"/>
      <c r="D72" s="100" t="s">
        <v>110</v>
      </c>
      <c r="E72" s="144">
        <v>0</v>
      </c>
      <c r="F72" s="144">
        <v>0</v>
      </c>
    </row>
    <row r="73" spans="1:6" x14ac:dyDescent="0.25">
      <c r="A73" s="12"/>
      <c r="B73" s="54"/>
      <c r="C73" s="54"/>
      <c r="D73" s="100" t="s">
        <v>111</v>
      </c>
      <c r="E73" s="144">
        <v>0</v>
      </c>
      <c r="F73" s="144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99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97" t="s">
        <v>113</v>
      </c>
      <c r="E76" s="60"/>
      <c r="F76" s="60"/>
    </row>
    <row r="77" spans="1:6" x14ac:dyDescent="0.25">
      <c r="A77" s="12"/>
      <c r="B77" s="54"/>
      <c r="C77" s="54"/>
      <c r="D77" s="97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6" t="s">
        <v>115</v>
      </c>
      <c r="E79" s="61">
        <f>E63+E68+E75</f>
        <v>369646168.70999998</v>
      </c>
      <c r="F79" s="61">
        <f>F63+F68+F75</f>
        <v>337716603.75999999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6" t="s">
        <v>116</v>
      </c>
      <c r="E81" s="61">
        <f>E59+E79</f>
        <v>379239760.75999999</v>
      </c>
      <c r="F81" s="61">
        <f>F59+F79</f>
        <v>348990339.65999997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7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22135041.379999999</v>
      </c>
      <c r="Q4" s="18">
        <f>'Formato 1'!C9</f>
        <v>22527699.109999999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20190113.469999999</v>
      </c>
      <c r="Q6" s="18">
        <f>'Formato 1'!C11</f>
        <v>18336015.390000001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196400.17</v>
      </c>
      <c r="Q7" s="18">
        <f>'Formato 1'!C12</f>
        <v>260549.09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1748527.74</v>
      </c>
      <c r="Q9" s="18">
        <f>'Formato 1'!C14</f>
        <v>3931134.63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1430644.77</v>
      </c>
      <c r="Q12" s="18">
        <f>'Formato 1'!C17</f>
        <v>1597286.27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431927.38</v>
      </c>
      <c r="Q14" s="18">
        <f>'Formato 1'!C19</f>
        <v>434717.95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24200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998717.39</v>
      </c>
      <c r="Q19" s="18">
        <f>'Formato 1'!C24</f>
        <v>1138368.32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2101551.29</v>
      </c>
      <c r="Q20" s="18">
        <f>'Formato 1'!C25</f>
        <v>6427362.5199999996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107800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1993751.29</v>
      </c>
      <c r="Q24" s="18">
        <f>'Formato 1'!C29</f>
        <v>6319562.5199999996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25684787.439999998</v>
      </c>
      <c r="Q42" s="18">
        <f>'Formato 1'!C47</f>
        <v>30569897.899999999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18236.63</v>
      </c>
      <c r="Q45">
        <f>'Formato 1'!C51</f>
        <v>18236.63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311128482.72000003</v>
      </c>
      <c r="Q46">
        <f>'Formato 1'!C52</f>
        <v>293312968.49000001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20576314.16</v>
      </c>
      <c r="Q47">
        <f>'Formato 1'!C53</f>
        <v>20095283.489999998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387224.3</v>
      </c>
      <c r="Q48">
        <f>'Formato 1'!C54</f>
        <v>387224.3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-7804851.25</v>
      </c>
      <c r="Q49">
        <f>'Formato 1'!C55</f>
        <v>-7804851.25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12411580.1</v>
      </c>
      <c r="Q50">
        <f>'Formato 1'!C56</f>
        <v>12411580.1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336716986.66000009</v>
      </c>
      <c r="Q53">
        <f>'Formato 1'!C60</f>
        <v>318420441.76000005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362401774.10000008</v>
      </c>
      <c r="Q54">
        <f>'Formato 1'!C62</f>
        <v>348990339.66000003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9407542.0500000007</v>
      </c>
      <c r="Q57">
        <f>'Formato 1'!F9</f>
        <v>8120676.46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2328546.64</v>
      </c>
      <c r="Q58">
        <f>'Formato 1'!F10</f>
        <v>2431624.86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561958.17000000004</v>
      </c>
      <c r="Q59">
        <f>'Formato 1'!F11</f>
        <v>1001957.54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555569.12</v>
      </c>
      <c r="Q60">
        <f>'Formato 1'!F12</f>
        <v>1424637.63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1217642.1599999999</v>
      </c>
      <c r="Q62">
        <f>'Formato 1'!F14</f>
        <v>897944.36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771308.96</v>
      </c>
      <c r="Q64">
        <f>'Formato 1'!F16</f>
        <v>623850.75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3972517</v>
      </c>
      <c r="Q66">
        <f>'Formato 1'!F18</f>
        <v>1740661.32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3000000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3000000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9407542.0500000007</v>
      </c>
      <c r="Q95">
        <f>'Formato 1'!F47</f>
        <v>11120676.460000001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186050</v>
      </c>
      <c r="Q99">
        <f>'Formato 1'!F52</f>
        <v>186050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-32990.559999999998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186050</v>
      </c>
      <c r="Q103">
        <f>'Formato 1'!F57</f>
        <v>153059.44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9593592.0500000007</v>
      </c>
      <c r="Q104">
        <f>'Formato 1'!F59</f>
        <v>11273735.9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18704088.579999998</v>
      </c>
      <c r="Q106">
        <f>'Formato 1'!F63</f>
        <v>18704088.579999998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121036.11</v>
      </c>
      <c r="Q108">
        <f>'Formato 1'!F65</f>
        <v>121036.11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350942080.13</v>
      </c>
      <c r="Q110">
        <f>'Formato 1'!F68</f>
        <v>319012515.18000001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31947973.620000001</v>
      </c>
      <c r="Q111">
        <f>'Formato 1'!F69</f>
        <v>31508530.370000001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318994106.50999999</v>
      </c>
      <c r="Q112">
        <f>'Formato 1'!F70</f>
        <v>287503984.81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369646168.70999998</v>
      </c>
      <c r="Q119">
        <f>'Formato 1'!F79</f>
        <v>337716603.75999999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379239760.75999999</v>
      </c>
      <c r="Q120">
        <f>'Formato 1'!F81</f>
        <v>348990339.65999997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80" zoomScaleNormal="80" workbookViewId="0">
      <selection activeCell="E11" sqref="E1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7" customFormat="1" ht="37.5" customHeight="1" x14ac:dyDescent="0.25">
      <c r="A1" s="185" t="s">
        <v>544</v>
      </c>
      <c r="B1" s="185"/>
      <c r="C1" s="185"/>
      <c r="D1" s="185"/>
      <c r="E1" s="185"/>
      <c r="F1" s="185"/>
      <c r="G1" s="185"/>
      <c r="H1" s="185"/>
    </row>
    <row r="2" spans="1:9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2"/>
      <c r="H2" s="173"/>
    </row>
    <row r="3" spans="1:9" x14ac:dyDescent="0.25">
      <c r="A3" s="174" t="s">
        <v>120</v>
      </c>
      <c r="B3" s="175"/>
      <c r="C3" s="175"/>
      <c r="D3" s="175"/>
      <c r="E3" s="175"/>
      <c r="F3" s="175"/>
      <c r="G3" s="175"/>
      <c r="H3" s="176"/>
    </row>
    <row r="4" spans="1:9" x14ac:dyDescent="0.25">
      <c r="A4" s="177" t="str">
        <f>PERIODO_INFORME</f>
        <v>Al 31 de diciembre de 2019 y al 31 de diciembre de 2020 (b)</v>
      </c>
      <c r="B4" s="178"/>
      <c r="C4" s="178"/>
      <c r="D4" s="178"/>
      <c r="E4" s="178"/>
      <c r="F4" s="178"/>
      <c r="G4" s="178"/>
      <c r="H4" s="179"/>
    </row>
    <row r="5" spans="1:9" x14ac:dyDescent="0.25">
      <c r="A5" s="180" t="s">
        <v>118</v>
      </c>
      <c r="B5" s="181"/>
      <c r="C5" s="181"/>
      <c r="D5" s="181"/>
      <c r="E5" s="181"/>
      <c r="F5" s="181"/>
      <c r="G5" s="181"/>
      <c r="H5" s="182"/>
    </row>
    <row r="6" spans="1:9" ht="45" x14ac:dyDescent="0.25">
      <c r="A6" s="101" t="s">
        <v>121</v>
      </c>
      <c r="B6" s="102" t="str">
        <f>ULTIMO_SALDO</f>
        <v>Saldo al 31 de diciembre de 2019 (d)</v>
      </c>
      <c r="C6" s="101" t="s">
        <v>122</v>
      </c>
      <c r="D6" s="101" t="s">
        <v>123</v>
      </c>
      <c r="E6" s="101" t="s">
        <v>124</v>
      </c>
      <c r="F6" s="101" t="s">
        <v>138</v>
      </c>
      <c r="G6" s="101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3" t="s">
        <v>127</v>
      </c>
      <c r="B8" s="151">
        <f>B9+B13</f>
        <v>186050</v>
      </c>
      <c r="C8" s="151">
        <f t="shared" ref="C8:H8" si="0">C9+C13</f>
        <v>186050</v>
      </c>
      <c r="D8" s="151">
        <f t="shared" si="0"/>
        <v>0</v>
      </c>
      <c r="E8" s="151">
        <f t="shared" si="0"/>
        <v>0</v>
      </c>
      <c r="F8" s="151">
        <f t="shared" si="0"/>
        <v>372100</v>
      </c>
      <c r="G8" s="151">
        <f t="shared" si="0"/>
        <v>0</v>
      </c>
      <c r="H8" s="151">
        <f t="shared" si="0"/>
        <v>0</v>
      </c>
    </row>
    <row r="9" spans="1:9" x14ac:dyDescent="0.25">
      <c r="A9" s="104" t="s">
        <v>128</v>
      </c>
      <c r="B9" s="146"/>
      <c r="C9" s="146"/>
      <c r="D9" s="146"/>
      <c r="E9" s="150">
        <f t="shared" ref="E9:H9" si="1">SUM(E10:E12)</f>
        <v>0</v>
      </c>
      <c r="F9" s="150">
        <f t="shared" si="1"/>
        <v>0</v>
      </c>
      <c r="G9" s="150">
        <f t="shared" si="1"/>
        <v>0</v>
      </c>
      <c r="H9" s="150">
        <f t="shared" si="1"/>
        <v>0</v>
      </c>
    </row>
    <row r="10" spans="1:9" x14ac:dyDescent="0.25">
      <c r="A10" s="105" t="s">
        <v>129</v>
      </c>
      <c r="B10" s="146"/>
      <c r="C10" s="146"/>
      <c r="D10" s="144"/>
      <c r="E10" s="150"/>
      <c r="F10" s="150"/>
      <c r="G10" s="150"/>
      <c r="H10" s="150"/>
    </row>
    <row r="11" spans="1:9" x14ac:dyDescent="0.25">
      <c r="A11" s="105" t="s">
        <v>130</v>
      </c>
      <c r="B11" s="146"/>
      <c r="C11" s="146"/>
      <c r="D11" s="146"/>
      <c r="E11" s="150"/>
      <c r="F11" s="150"/>
      <c r="G11" s="150"/>
      <c r="H11" s="150"/>
    </row>
    <row r="12" spans="1:9" x14ac:dyDescent="0.25">
      <c r="A12" s="105" t="s">
        <v>131</v>
      </c>
      <c r="B12" s="150"/>
      <c r="C12" s="150"/>
      <c r="D12" s="150"/>
      <c r="E12" s="150"/>
      <c r="F12" s="150"/>
      <c r="G12" s="150"/>
      <c r="H12" s="150"/>
    </row>
    <row r="13" spans="1:9" x14ac:dyDescent="0.25">
      <c r="A13" s="104" t="s">
        <v>132</v>
      </c>
      <c r="B13" s="150">
        <f>SUM(B14:B16)</f>
        <v>186050</v>
      </c>
      <c r="C13" s="150">
        <f t="shared" ref="C13:H13" si="2">SUM(C14:C16)</f>
        <v>186050</v>
      </c>
      <c r="D13" s="150">
        <f t="shared" si="2"/>
        <v>0</v>
      </c>
      <c r="E13" s="150"/>
      <c r="F13" s="150">
        <f t="shared" si="2"/>
        <v>372100</v>
      </c>
      <c r="G13" s="150"/>
      <c r="H13" s="150">
        <f t="shared" si="2"/>
        <v>0</v>
      </c>
    </row>
    <row r="14" spans="1:9" x14ac:dyDescent="0.25">
      <c r="A14" s="105" t="s">
        <v>133</v>
      </c>
      <c r="B14" s="144">
        <v>186050</v>
      </c>
      <c r="C14" s="144">
        <v>186050</v>
      </c>
      <c r="D14" s="150"/>
      <c r="E14" s="150"/>
      <c r="F14" s="146">
        <f>B14+C14-D14+E14</f>
        <v>372100</v>
      </c>
      <c r="G14" s="150"/>
      <c r="H14" s="150"/>
    </row>
    <row r="15" spans="1:9" x14ac:dyDescent="0.25">
      <c r="A15" s="105" t="s">
        <v>134</v>
      </c>
      <c r="B15" s="150"/>
      <c r="C15" s="150"/>
      <c r="D15" s="150"/>
      <c r="E15" s="150"/>
      <c r="F15" s="150"/>
      <c r="G15" s="150"/>
      <c r="H15" s="150"/>
    </row>
    <row r="16" spans="1:9" x14ac:dyDescent="0.25">
      <c r="A16" s="105" t="s">
        <v>135</v>
      </c>
      <c r="B16" s="150"/>
      <c r="C16" s="150"/>
      <c r="D16" s="150"/>
      <c r="E16" s="150"/>
      <c r="F16" s="150"/>
      <c r="G16" s="150"/>
      <c r="H16" s="150"/>
    </row>
    <row r="17" spans="1:8" x14ac:dyDescent="0.25">
      <c r="A17" s="54"/>
      <c r="B17" s="152"/>
      <c r="C17" s="152"/>
      <c r="D17" s="152"/>
      <c r="E17" s="152"/>
      <c r="F17" s="152"/>
      <c r="G17" s="152"/>
      <c r="H17" s="152"/>
    </row>
    <row r="18" spans="1:8" x14ac:dyDescent="0.25">
      <c r="A18" s="103" t="s">
        <v>136</v>
      </c>
      <c r="B18" s="151"/>
      <c r="C18" s="153"/>
      <c r="D18" s="153"/>
      <c r="E18" s="153"/>
      <c r="F18" s="151"/>
      <c r="G18" s="153"/>
      <c r="H18" s="153"/>
    </row>
    <row r="19" spans="1:8" x14ac:dyDescent="0.25">
      <c r="A19" s="84"/>
      <c r="B19" s="154"/>
      <c r="C19" s="154"/>
      <c r="D19" s="154"/>
      <c r="E19" s="154"/>
      <c r="F19" s="154"/>
      <c r="G19" s="154"/>
      <c r="H19" s="154"/>
    </row>
    <row r="20" spans="1:8" x14ac:dyDescent="0.25">
      <c r="A20" s="103" t="s">
        <v>137</v>
      </c>
      <c r="B20" s="151">
        <f>B8+B18</f>
        <v>186050</v>
      </c>
      <c r="C20" s="151">
        <f t="shared" ref="C20:H20" si="3">C8+C18</f>
        <v>186050</v>
      </c>
      <c r="D20" s="151">
        <f t="shared" si="3"/>
        <v>0</v>
      </c>
      <c r="E20" s="151">
        <f t="shared" si="3"/>
        <v>0</v>
      </c>
      <c r="F20" s="151">
        <f t="shared" si="3"/>
        <v>372100</v>
      </c>
      <c r="G20" s="151">
        <f t="shared" si="3"/>
        <v>0</v>
      </c>
      <c r="H20" s="151">
        <f t="shared" si="3"/>
        <v>0</v>
      </c>
    </row>
    <row r="21" spans="1:8" x14ac:dyDescent="0.25">
      <c r="A21" s="54"/>
      <c r="B21" s="155"/>
      <c r="C21" s="155"/>
      <c r="D21" s="155"/>
      <c r="E21" s="155"/>
      <c r="F21" s="155"/>
      <c r="G21" s="155"/>
      <c r="H21" s="155"/>
    </row>
    <row r="22" spans="1:8" ht="17.25" x14ac:dyDescent="0.25">
      <c r="A22" s="103" t="s">
        <v>3296</v>
      </c>
      <c r="B22" s="151">
        <f>SUM(B23:DEUDA_CONT_FIN_01)</f>
        <v>0</v>
      </c>
      <c r="C22" s="151">
        <f>SUM(C23:DEUDA_CONT_FIN_02)</f>
        <v>0</v>
      </c>
      <c r="D22" s="151">
        <f>SUM(D23:DEUDA_CONT_FIN_03)</f>
        <v>0</v>
      </c>
      <c r="E22" s="151">
        <f>SUM(E23:DEUDA_CONT_FIN_04)</f>
        <v>0</v>
      </c>
      <c r="F22" s="151">
        <f>SUM(F23:DEUDA_CONT_FIN_05)</f>
        <v>0</v>
      </c>
      <c r="G22" s="151">
        <f>SUM(G23:DEUDA_CONT_FIN_06)</f>
        <v>0</v>
      </c>
      <c r="H22" s="151">
        <f>SUM(H23:DEUDA_CONT_FIN_07)</f>
        <v>0</v>
      </c>
    </row>
    <row r="23" spans="1:8" s="24" customFormat="1" x14ac:dyDescent="0.25">
      <c r="A23" s="106" t="s">
        <v>442</v>
      </c>
      <c r="B23" s="150"/>
      <c r="C23" s="150"/>
      <c r="D23" s="150"/>
      <c r="E23" s="150"/>
      <c r="F23" s="150"/>
      <c r="G23" s="150"/>
      <c r="H23" s="150"/>
    </row>
    <row r="24" spans="1:8" s="24" customFormat="1" x14ac:dyDescent="0.25">
      <c r="A24" s="106" t="s">
        <v>443</v>
      </c>
      <c r="B24" s="150"/>
      <c r="C24" s="150"/>
      <c r="D24" s="150"/>
      <c r="E24" s="150"/>
      <c r="F24" s="150"/>
      <c r="G24" s="150"/>
      <c r="H24" s="150"/>
    </row>
    <row r="25" spans="1:8" s="24" customFormat="1" x14ac:dyDescent="0.25">
      <c r="A25" s="106" t="s">
        <v>444</v>
      </c>
      <c r="B25" s="150"/>
      <c r="C25" s="150"/>
      <c r="D25" s="150"/>
      <c r="E25" s="150"/>
      <c r="F25" s="150"/>
      <c r="G25" s="150"/>
      <c r="H25" s="150"/>
    </row>
    <row r="26" spans="1:8" x14ac:dyDescent="0.25">
      <c r="A26" s="76" t="s">
        <v>686</v>
      </c>
      <c r="B26" s="155"/>
      <c r="C26" s="155"/>
      <c r="D26" s="155"/>
      <c r="E26" s="155"/>
      <c r="F26" s="155"/>
      <c r="G26" s="155"/>
      <c r="H26" s="155"/>
    </row>
    <row r="27" spans="1:8" ht="17.25" x14ac:dyDescent="0.25">
      <c r="A27" s="103" t="s">
        <v>3297</v>
      </c>
      <c r="B27" s="151">
        <f>SUM(B28:VALOR_INS_BCC_FIN_01)</f>
        <v>0</v>
      </c>
      <c r="C27" s="151">
        <f>SUM(C28:VALOR_INS_BCC_FIN_02)</f>
        <v>0</v>
      </c>
      <c r="D27" s="151">
        <f>SUM(D28:VALOR_INS_BCC_FIN_03)</f>
        <v>0</v>
      </c>
      <c r="E27" s="151">
        <f>SUM(E28:VALOR_INS_BCC_FIN_04)</f>
        <v>0</v>
      </c>
      <c r="F27" s="151">
        <f>SUM(F28:VALOR_INS_BCC_FIN_05)</f>
        <v>0</v>
      </c>
      <c r="G27" s="151">
        <f>SUM(G28:VALOR_INS_BCC_FIN_06)</f>
        <v>0</v>
      </c>
      <c r="H27" s="151">
        <f>SUM(H28:VALOR_INS_BCC_FIN_07)</f>
        <v>0</v>
      </c>
    </row>
    <row r="28" spans="1:8" s="24" customFormat="1" x14ac:dyDescent="0.25">
      <c r="A28" s="106" t="s">
        <v>445</v>
      </c>
      <c r="B28" s="150"/>
      <c r="C28" s="150"/>
      <c r="D28" s="150"/>
      <c r="E28" s="150"/>
      <c r="F28" s="150"/>
      <c r="G28" s="150"/>
      <c r="H28" s="150"/>
    </row>
    <row r="29" spans="1:8" s="24" customFormat="1" x14ac:dyDescent="0.25">
      <c r="A29" s="106" t="s">
        <v>446</v>
      </c>
      <c r="B29" s="150"/>
      <c r="C29" s="150"/>
      <c r="D29" s="150"/>
      <c r="E29" s="150"/>
      <c r="F29" s="150"/>
      <c r="G29" s="150"/>
      <c r="H29" s="150"/>
    </row>
    <row r="30" spans="1:8" s="24" customFormat="1" x14ac:dyDescent="0.25">
      <c r="A30" s="106" t="s">
        <v>447</v>
      </c>
      <c r="B30" s="150"/>
      <c r="C30" s="150"/>
      <c r="D30" s="150"/>
      <c r="E30" s="150"/>
      <c r="F30" s="150"/>
      <c r="G30" s="150"/>
      <c r="H30" s="150"/>
    </row>
    <row r="31" spans="1:8" x14ac:dyDescent="0.25">
      <c r="A31" s="107" t="s">
        <v>686</v>
      </c>
      <c r="B31" s="156"/>
      <c r="C31" s="156"/>
      <c r="D31" s="156"/>
      <c r="E31" s="156"/>
      <c r="F31" s="156"/>
      <c r="G31" s="156"/>
      <c r="H31" s="156"/>
    </row>
    <row r="32" spans="1:8" ht="17.25" customHeight="1" x14ac:dyDescent="0.25">
      <c r="A32" s="87"/>
    </row>
    <row r="33" spans="1:8" ht="12" customHeight="1" x14ac:dyDescent="0.25">
      <c r="A33" s="184" t="s">
        <v>3300</v>
      </c>
      <c r="B33" s="184"/>
      <c r="C33" s="184"/>
      <c r="D33" s="184"/>
      <c r="E33" s="184"/>
      <c r="F33" s="184"/>
      <c r="G33" s="184"/>
      <c r="H33" s="184"/>
    </row>
    <row r="34" spans="1:8" ht="12" customHeight="1" x14ac:dyDescent="0.25">
      <c r="A34" s="184"/>
      <c r="B34" s="184"/>
      <c r="C34" s="184"/>
      <c r="D34" s="184"/>
      <c r="E34" s="184"/>
      <c r="F34" s="184"/>
      <c r="G34" s="184"/>
      <c r="H34" s="184"/>
    </row>
    <row r="35" spans="1:8" ht="12" customHeight="1" x14ac:dyDescent="0.25">
      <c r="A35" s="184"/>
      <c r="B35" s="184"/>
      <c r="C35" s="184"/>
      <c r="D35" s="184"/>
      <c r="E35" s="184"/>
      <c r="F35" s="184"/>
      <c r="G35" s="184"/>
      <c r="H35" s="184"/>
    </row>
    <row r="36" spans="1:8" ht="12" customHeight="1" x14ac:dyDescent="0.25">
      <c r="A36" s="184"/>
      <c r="B36" s="184"/>
      <c r="C36" s="184"/>
      <c r="D36" s="184"/>
      <c r="E36" s="184"/>
      <c r="F36" s="184"/>
      <c r="G36" s="184"/>
      <c r="H36" s="184"/>
    </row>
    <row r="37" spans="1:8" ht="12" customHeight="1" x14ac:dyDescent="0.25">
      <c r="A37" s="184"/>
      <c r="B37" s="184"/>
      <c r="C37" s="184"/>
      <c r="D37" s="184"/>
      <c r="E37" s="184"/>
      <c r="F37" s="184"/>
      <c r="G37" s="184"/>
      <c r="H37" s="184"/>
    </row>
    <row r="38" spans="1:8" x14ac:dyDescent="0.25">
      <c r="A38" s="87"/>
    </row>
    <row r="39" spans="1:8" ht="30" x14ac:dyDescent="0.25">
      <c r="A39" s="101" t="s">
        <v>139</v>
      </c>
      <c r="B39" s="101" t="s">
        <v>142</v>
      </c>
      <c r="C39" s="101" t="s">
        <v>143</v>
      </c>
      <c r="D39" s="101" t="s">
        <v>144</v>
      </c>
      <c r="E39" s="101" t="s">
        <v>140</v>
      </c>
      <c r="F39" s="45" t="s">
        <v>145</v>
      </c>
    </row>
    <row r="40" spans="1:8" x14ac:dyDescent="0.25">
      <c r="A40" s="84"/>
      <c r="B40" s="5"/>
      <c r="C40" s="5"/>
      <c r="D40" s="5"/>
      <c r="E40" s="5"/>
      <c r="F40" s="5"/>
    </row>
    <row r="41" spans="1:8" x14ac:dyDescent="0.25">
      <c r="A41" s="103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6" t="s">
        <v>448</v>
      </c>
      <c r="B42" s="60"/>
      <c r="C42" s="60"/>
      <c r="D42" s="60"/>
      <c r="E42" s="60"/>
      <c r="F42" s="60"/>
    </row>
    <row r="43" spans="1:8" s="24" customFormat="1" x14ac:dyDescent="0.25">
      <c r="A43" s="106" t="s">
        <v>449</v>
      </c>
      <c r="B43" s="60"/>
      <c r="C43" s="60"/>
      <c r="D43" s="60"/>
      <c r="E43" s="60"/>
      <c r="F43" s="60"/>
    </row>
    <row r="44" spans="1:8" s="24" customFormat="1" x14ac:dyDescent="0.25">
      <c r="A44" s="106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186050</v>
      </c>
      <c r="Q3" s="18">
        <f>'Formato 2'!C8</f>
        <v>186050</v>
      </c>
      <c r="R3" s="18">
        <f>'Formato 2'!D8</f>
        <v>0</v>
      </c>
      <c r="S3" s="18">
        <f>'Formato 2'!E8</f>
        <v>0</v>
      </c>
      <c r="T3" s="18">
        <f>'Formato 2'!F8</f>
        <v>372100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186050</v>
      </c>
      <c r="Q8" s="18">
        <f>'Formato 2'!C13</f>
        <v>186050</v>
      </c>
      <c r="R8" s="18">
        <f>'Formato 2'!D13</f>
        <v>0</v>
      </c>
      <c r="S8" s="18">
        <f>'Formato 2'!E13</f>
        <v>0</v>
      </c>
      <c r="T8" s="18">
        <f>'Formato 2'!F13</f>
        <v>372100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186050</v>
      </c>
      <c r="Q9" s="18">
        <f>'Formato 2'!C14</f>
        <v>186050</v>
      </c>
      <c r="R9" s="18">
        <f>'Formato 2'!D14</f>
        <v>0</v>
      </c>
      <c r="S9" s="18">
        <f>'Formato 2'!E14</f>
        <v>0</v>
      </c>
      <c r="T9" s="18">
        <f>'Formato 2'!F14</f>
        <v>372100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186050</v>
      </c>
      <c r="Q13" s="18">
        <f>'Formato 2'!C20</f>
        <v>186050</v>
      </c>
      <c r="R13" s="18">
        <f>'Formato 2'!D20</f>
        <v>0</v>
      </c>
      <c r="S13" s="18">
        <f>'Formato 2'!E20</f>
        <v>0</v>
      </c>
      <c r="T13" s="18">
        <f>'Formato 2'!F20</f>
        <v>372100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6" sqref="A6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88" customFormat="1" ht="37.5" customHeight="1" x14ac:dyDescent="0.25">
      <c r="A1" s="183" t="s">
        <v>543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08"/>
    </row>
    <row r="2" spans="1:12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2" x14ac:dyDescent="0.25">
      <c r="A3" s="174" t="s">
        <v>146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2" x14ac:dyDescent="0.25">
      <c r="A4" s="177" t="str">
        <f>TRIMESTRE</f>
        <v>Del 1 de enero al 31 de diciembre de 2020 (b)</v>
      </c>
      <c r="B4" s="178"/>
      <c r="C4" s="178"/>
      <c r="D4" s="178"/>
      <c r="E4" s="178"/>
      <c r="F4" s="178"/>
      <c r="G4" s="178"/>
      <c r="H4" s="178"/>
      <c r="I4" s="178"/>
      <c r="J4" s="178"/>
      <c r="K4" s="179"/>
    </row>
    <row r="5" spans="1:12" x14ac:dyDescent="0.25">
      <c r="A5" s="174" t="s">
        <v>118</v>
      </c>
      <c r="B5" s="175"/>
      <c r="C5" s="175"/>
      <c r="D5" s="175"/>
      <c r="E5" s="175"/>
      <c r="F5" s="175"/>
      <c r="G5" s="175"/>
      <c r="H5" s="175"/>
      <c r="I5" s="175"/>
      <c r="J5" s="175"/>
      <c r="K5" s="176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7" t="str">
        <f>MONTO1</f>
        <v>Monto pagado de la inversión al 31 de diciembre de 2020 (k)</v>
      </c>
      <c r="J6" s="127" t="str">
        <f>MONTO2</f>
        <v>Monto pagado de la inversión actualizado al 31 de diciembre de 2020 (l)</v>
      </c>
      <c r="K6" s="127" t="str">
        <f>SALDO_PENDIENTE</f>
        <v>Saldo pendiente por pagar de la inversión al 31 de diciembre de 2020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5"/>
      <c r="C8" s="125"/>
      <c r="D8" s="125"/>
      <c r="E8" s="61">
        <f>SUM(E9:APP_FIN_04)</f>
        <v>0</v>
      </c>
      <c r="F8" s="125"/>
      <c r="G8" s="61">
        <f>SUM(G9:APP_FIN_06)</f>
        <v>4</v>
      </c>
      <c r="H8" s="61">
        <f>SUM(H9:APP_FIN_07)</f>
        <v>4</v>
      </c>
      <c r="I8" s="61">
        <f>SUM(I9:APP_FIN_08)</f>
        <v>4</v>
      </c>
      <c r="J8" s="61">
        <f>SUM(J9:APP_FIN_09)</f>
        <v>4</v>
      </c>
      <c r="K8" s="61">
        <f>SUM(K9:APP_FIN_10)</f>
        <v>-4</v>
      </c>
    </row>
    <row r="9" spans="1:12" s="24" customFormat="1" x14ac:dyDescent="0.25">
      <c r="A9" s="111" t="s">
        <v>156</v>
      </c>
      <c r="B9" s="109"/>
      <c r="C9" s="109"/>
      <c r="D9" s="109"/>
      <c r="E9" s="60"/>
      <c r="F9" s="60"/>
      <c r="G9" s="60">
        <v>1</v>
      </c>
      <c r="H9" s="60">
        <v>1</v>
      </c>
      <c r="I9" s="60">
        <v>1</v>
      </c>
      <c r="J9" s="60">
        <v>1</v>
      </c>
      <c r="K9" s="60">
        <f>E9-J9</f>
        <v>-1</v>
      </c>
    </row>
    <row r="10" spans="1:12" s="24" customFormat="1" x14ac:dyDescent="0.25">
      <c r="A10" s="111" t="s">
        <v>157</v>
      </c>
      <c r="B10" s="109"/>
      <c r="C10" s="109"/>
      <c r="D10" s="109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>
        <f>E10-J10</f>
        <v>-1</v>
      </c>
    </row>
    <row r="11" spans="1:12" s="24" customFormat="1" x14ac:dyDescent="0.25">
      <c r="A11" s="111" t="s">
        <v>158</v>
      </c>
      <c r="B11" s="109"/>
      <c r="C11" s="109"/>
      <c r="D11" s="109"/>
      <c r="E11" s="60"/>
      <c r="F11" s="60"/>
      <c r="G11" s="60">
        <v>1</v>
      </c>
      <c r="H11" s="60">
        <v>1</v>
      </c>
      <c r="I11" s="60">
        <v>1</v>
      </c>
      <c r="J11" s="60">
        <v>1</v>
      </c>
      <c r="K11" s="60">
        <f>E11-J11</f>
        <v>-1</v>
      </c>
    </row>
    <row r="12" spans="1:12" s="24" customFormat="1" x14ac:dyDescent="0.25">
      <c r="A12" s="111" t="s">
        <v>159</v>
      </c>
      <c r="B12" s="109"/>
      <c r="C12" s="109"/>
      <c r="D12" s="109"/>
      <c r="E12" s="60"/>
      <c r="F12" s="60"/>
      <c r="G12" s="60">
        <v>1</v>
      </c>
      <c r="H12" s="60">
        <v>1</v>
      </c>
      <c r="I12" s="60">
        <v>1</v>
      </c>
      <c r="J12" s="60">
        <v>1</v>
      </c>
      <c r="K12" s="60">
        <f>E12-J12</f>
        <v>-1</v>
      </c>
    </row>
    <row r="13" spans="1:12" x14ac:dyDescent="0.25">
      <c r="A13" s="112" t="s">
        <v>686</v>
      </c>
      <c r="B13" s="110"/>
      <c r="C13" s="110"/>
      <c r="D13" s="110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5"/>
      <c r="C14" s="125"/>
      <c r="D14" s="125"/>
      <c r="E14" s="61">
        <f>SUM(E15:OTROS_FIN_04)</f>
        <v>0</v>
      </c>
      <c r="F14" s="125"/>
      <c r="G14" s="61">
        <f>SUM(G15:OTROS_FIN_06)</f>
        <v>4</v>
      </c>
      <c r="H14" s="61">
        <f>SUM(H15:OTROS_FIN_07)</f>
        <v>4</v>
      </c>
      <c r="I14" s="61">
        <f>SUM(I15:OTROS_FIN_08)</f>
        <v>4</v>
      </c>
      <c r="J14" s="61">
        <f>SUM(J15:OTROS_FIN_09)</f>
        <v>4</v>
      </c>
      <c r="K14" s="61">
        <f>SUM(K15:OTROS_FIN_10)</f>
        <v>-4</v>
      </c>
    </row>
    <row r="15" spans="1:12" s="24" customFormat="1" x14ac:dyDescent="0.25">
      <c r="A15" s="111" t="s">
        <v>161</v>
      </c>
      <c r="B15" s="109"/>
      <c r="C15" s="109"/>
      <c r="D15" s="109"/>
      <c r="E15" s="60"/>
      <c r="F15" s="60"/>
      <c r="G15" s="60">
        <v>1</v>
      </c>
      <c r="H15" s="60">
        <v>1</v>
      </c>
      <c r="I15" s="60">
        <v>1</v>
      </c>
      <c r="J15" s="60">
        <v>1</v>
      </c>
      <c r="K15" s="60">
        <f>E15-J15</f>
        <v>-1</v>
      </c>
    </row>
    <row r="16" spans="1:12" s="24" customFormat="1" x14ac:dyDescent="0.25">
      <c r="A16" s="111" t="s">
        <v>162</v>
      </c>
      <c r="B16" s="109"/>
      <c r="C16" s="109"/>
      <c r="D16" s="109"/>
      <c r="E16" s="60"/>
      <c r="F16" s="60"/>
      <c r="G16" s="60">
        <v>1</v>
      </c>
      <c r="H16" s="60">
        <v>1</v>
      </c>
      <c r="I16" s="60">
        <v>1</v>
      </c>
      <c r="J16" s="60">
        <v>1</v>
      </c>
      <c r="K16" s="60">
        <f>E16-J16</f>
        <v>-1</v>
      </c>
    </row>
    <row r="17" spans="1:11" s="24" customFormat="1" x14ac:dyDescent="0.25">
      <c r="A17" s="111" t="s">
        <v>163</v>
      </c>
      <c r="B17" s="109"/>
      <c r="C17" s="109"/>
      <c r="D17" s="109"/>
      <c r="E17" s="60"/>
      <c r="F17" s="60"/>
      <c r="G17" s="60">
        <v>1</v>
      </c>
      <c r="H17" s="60">
        <v>1</v>
      </c>
      <c r="I17" s="60">
        <v>1</v>
      </c>
      <c r="J17" s="60">
        <v>1</v>
      </c>
      <c r="K17" s="60">
        <f>E17-J17</f>
        <v>-1</v>
      </c>
    </row>
    <row r="18" spans="1:11" s="24" customFormat="1" x14ac:dyDescent="0.25">
      <c r="A18" s="111" t="s">
        <v>164</v>
      </c>
      <c r="B18" s="109"/>
      <c r="C18" s="109"/>
      <c r="D18" s="109"/>
      <c r="E18" s="60"/>
      <c r="F18" s="60"/>
      <c r="G18" s="60">
        <v>1</v>
      </c>
      <c r="H18" s="60">
        <v>1</v>
      </c>
      <c r="I18" s="60">
        <v>1</v>
      </c>
      <c r="J18" s="60">
        <v>1</v>
      </c>
      <c r="K18" s="60">
        <f>E18-J18</f>
        <v>-1</v>
      </c>
    </row>
    <row r="19" spans="1:11" x14ac:dyDescent="0.25">
      <c r="A19" s="112" t="s">
        <v>686</v>
      </c>
      <c r="B19" s="110"/>
      <c r="C19" s="110"/>
      <c r="D19" s="110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5"/>
      <c r="C20" s="125"/>
      <c r="D20" s="125"/>
      <c r="E20" s="61">
        <f>APP_T4+OTROS_T4</f>
        <v>0</v>
      </c>
      <c r="F20" s="125"/>
      <c r="G20" s="61">
        <f>APP_T6+OTROS_T6</f>
        <v>8</v>
      </c>
      <c r="H20" s="61">
        <f>APP_T7+OTROS_T7</f>
        <v>8</v>
      </c>
      <c r="I20" s="61">
        <f>APP_T8+OTROS_T8</f>
        <v>8</v>
      </c>
      <c r="J20" s="61">
        <f>APP_T9+OTROS_T9</f>
        <v>8</v>
      </c>
      <c r="K20" s="61">
        <f>APP_T10+OTROS_T10</f>
        <v>-8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4</v>
      </c>
      <c r="V3" s="18">
        <f>APP_T7</f>
        <v>4</v>
      </c>
      <c r="W3">
        <f>APP_T8</f>
        <v>4</v>
      </c>
      <c r="X3">
        <f>APP_T9</f>
        <v>4</v>
      </c>
      <c r="Y3">
        <f>APP_T10</f>
        <v>-4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4</v>
      </c>
      <c r="V4" s="18">
        <f>OTROS_T7</f>
        <v>4</v>
      </c>
      <c r="W4">
        <f>OTROS_T8</f>
        <v>4</v>
      </c>
      <c r="X4">
        <f>OTROS_T9</f>
        <v>4</v>
      </c>
      <c r="Y4">
        <f>OTROS_T10</f>
        <v>-4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8</v>
      </c>
      <c r="V5" s="18">
        <f>TOTAL_ODF_T7</f>
        <v>8</v>
      </c>
      <c r="W5" s="18">
        <f>TOTAL_ODF_T8</f>
        <v>8</v>
      </c>
      <c r="X5" s="18">
        <f>TOTAL_ODF_T9</f>
        <v>8</v>
      </c>
      <c r="Y5" s="18">
        <f>TOTAL_ODF_T10</f>
        <v>-8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3" zoomScale="80" zoomScaleNormal="80" workbookViewId="0">
      <selection activeCell="C67" sqref="C67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88" customFormat="1" ht="37.5" customHeight="1" x14ac:dyDescent="0.25">
      <c r="A1" s="183" t="s">
        <v>542</v>
      </c>
      <c r="B1" s="183"/>
      <c r="C1" s="183"/>
      <c r="D1" s="183"/>
      <c r="E1" s="108"/>
      <c r="F1" s="108"/>
      <c r="G1" s="108"/>
      <c r="H1" s="108"/>
      <c r="I1" s="108"/>
      <c r="J1" s="108"/>
      <c r="K1" s="108"/>
    </row>
    <row r="2" spans="1:11" x14ac:dyDescent="0.25">
      <c r="A2" s="171" t="str">
        <f>ENTE_PUBLICO_A</f>
        <v>MUNICIPIO DE TIERRA BLANCA, GUANAJUATO, Gobierno del Estado de Guanajuato (a)</v>
      </c>
      <c r="B2" s="172"/>
      <c r="C2" s="172"/>
      <c r="D2" s="173"/>
    </row>
    <row r="3" spans="1:11" x14ac:dyDescent="0.25">
      <c r="A3" s="174" t="s">
        <v>166</v>
      </c>
      <c r="B3" s="175"/>
      <c r="C3" s="175"/>
      <c r="D3" s="176"/>
    </row>
    <row r="4" spans="1:11" x14ac:dyDescent="0.25">
      <c r="A4" s="177" t="str">
        <f>TRIMESTRE</f>
        <v>Del 1 de enero al 31 de diciembre de 2020 (b)</v>
      </c>
      <c r="B4" s="178"/>
      <c r="C4" s="178"/>
      <c r="D4" s="179"/>
    </row>
    <row r="5" spans="1:11" x14ac:dyDescent="0.25">
      <c r="A5" s="180" t="s">
        <v>118</v>
      </c>
      <c r="B5" s="181"/>
      <c r="C5" s="181"/>
      <c r="D5" s="182"/>
    </row>
    <row r="6" spans="1:11" x14ac:dyDescent="0.25"/>
    <row r="7" spans="1:11" ht="39" customHeight="1" x14ac:dyDescent="0.25">
      <c r="A7" s="113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91130488</v>
      </c>
      <c r="C8" s="40">
        <f>SUM(C9:C11)</f>
        <v>112489326.94</v>
      </c>
      <c r="D8" s="40">
        <f>SUM(D9:D11)</f>
        <v>112489326.94</v>
      </c>
    </row>
    <row r="9" spans="1:11" x14ac:dyDescent="0.25">
      <c r="A9" s="53" t="s">
        <v>169</v>
      </c>
      <c r="B9" s="147">
        <v>55530488</v>
      </c>
      <c r="C9" s="147">
        <v>57382231.490000002</v>
      </c>
      <c r="D9" s="147">
        <v>57382231.490000002</v>
      </c>
    </row>
    <row r="10" spans="1:11" x14ac:dyDescent="0.25">
      <c r="A10" s="53" t="s">
        <v>170</v>
      </c>
      <c r="B10" s="147">
        <v>38600000</v>
      </c>
      <c r="C10" s="147">
        <v>55107095.450000003</v>
      </c>
      <c r="D10" s="147">
        <v>55107095.450000003</v>
      </c>
    </row>
    <row r="11" spans="1:11" x14ac:dyDescent="0.25">
      <c r="A11" s="53" t="s">
        <v>171</v>
      </c>
      <c r="B11" s="23">
        <f>B44</f>
        <v>-3000000</v>
      </c>
      <c r="C11" s="23">
        <f>C44</f>
        <v>0</v>
      </c>
      <c r="D11" s="23">
        <f>D44</f>
        <v>0</v>
      </c>
    </row>
    <row r="12" spans="1:11" x14ac:dyDescent="0.25">
      <c r="A12" s="92"/>
      <c r="B12" s="12"/>
      <c r="C12" s="12"/>
      <c r="D12" s="12"/>
    </row>
    <row r="13" spans="1:11" x14ac:dyDescent="0.25">
      <c r="A13" s="55" t="s">
        <v>180</v>
      </c>
      <c r="B13" s="40">
        <f>B14+B15</f>
        <v>94130488</v>
      </c>
      <c r="C13" s="40">
        <f>C14+C15</f>
        <v>119311869.39</v>
      </c>
      <c r="D13" s="40">
        <f>D14+D15</f>
        <v>115189098.33000001</v>
      </c>
    </row>
    <row r="14" spans="1:11" x14ac:dyDescent="0.25">
      <c r="A14" s="53" t="s">
        <v>172</v>
      </c>
      <c r="B14" s="147">
        <v>55530488</v>
      </c>
      <c r="C14" s="147">
        <v>51481044.359999999</v>
      </c>
      <c r="D14" s="147">
        <v>48690378.380000003</v>
      </c>
    </row>
    <row r="15" spans="1:11" x14ac:dyDescent="0.25">
      <c r="A15" s="53" t="s">
        <v>173</v>
      </c>
      <c r="B15" s="147">
        <v>38600000</v>
      </c>
      <c r="C15" s="147">
        <v>67830825.030000001</v>
      </c>
      <c r="D15" s="147">
        <v>66498719.950000003</v>
      </c>
    </row>
    <row r="16" spans="1:11" x14ac:dyDescent="0.25">
      <c r="A16" s="92"/>
      <c r="B16" s="12"/>
      <c r="C16" s="12"/>
      <c r="D16" s="12"/>
    </row>
    <row r="17" spans="1:4" x14ac:dyDescent="0.25">
      <c r="A17" s="55" t="s">
        <v>174</v>
      </c>
      <c r="B17" s="114">
        <f>B18+B19</f>
        <v>0</v>
      </c>
      <c r="C17" s="40">
        <f>C18+C19</f>
        <v>21321956.490000002</v>
      </c>
      <c r="D17" s="40">
        <f>D18+D19</f>
        <v>21321956.490000002</v>
      </c>
    </row>
    <row r="18" spans="1:4" x14ac:dyDescent="0.25">
      <c r="A18" s="53" t="s">
        <v>175</v>
      </c>
      <c r="B18" s="115">
        <v>0</v>
      </c>
      <c r="C18" s="147">
        <v>2405289.83</v>
      </c>
      <c r="D18" s="147">
        <v>2405289.83</v>
      </c>
    </row>
    <row r="19" spans="1:4" x14ac:dyDescent="0.25">
      <c r="A19" s="53" t="s">
        <v>176</v>
      </c>
      <c r="B19" s="115">
        <v>0</v>
      </c>
      <c r="C19" s="147">
        <v>18916666.66</v>
      </c>
      <c r="D19" s="148">
        <v>18916666.66</v>
      </c>
    </row>
    <row r="20" spans="1:4" x14ac:dyDescent="0.25">
      <c r="A20" s="92"/>
      <c r="B20" s="12"/>
      <c r="C20" s="12"/>
      <c r="D20" s="12"/>
    </row>
    <row r="21" spans="1:4" x14ac:dyDescent="0.25">
      <c r="A21" s="55" t="s">
        <v>177</v>
      </c>
      <c r="B21" s="40">
        <f>B8-B13+B17</f>
        <v>-3000000</v>
      </c>
      <c r="C21" s="40">
        <f>C8-C13+C17</f>
        <v>14499414.039999999</v>
      </c>
      <c r="D21" s="40">
        <f>D8-D13+D17</f>
        <v>18622185.099999987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14499414.039999999</v>
      </c>
      <c r="D23" s="40">
        <f>D21-D11</f>
        <v>18622185.099999987</v>
      </c>
    </row>
    <row r="24" spans="1:4" x14ac:dyDescent="0.25">
      <c r="A24" s="55"/>
      <c r="B24" s="17"/>
      <c r="C24" s="17"/>
      <c r="D24" s="17"/>
    </row>
    <row r="25" spans="1:4" x14ac:dyDescent="0.25">
      <c r="A25" s="116" t="s">
        <v>179</v>
      </c>
      <c r="B25" s="40">
        <f>B23-B17</f>
        <v>0</v>
      </c>
      <c r="C25" s="40">
        <f>C23-C17</f>
        <v>-6822542.450000003</v>
      </c>
      <c r="D25" s="40">
        <f>D23-D17</f>
        <v>-2699771.3900000155</v>
      </c>
    </row>
    <row r="26" spans="1:4" x14ac:dyDescent="0.25">
      <c r="A26" s="117"/>
      <c r="B26" s="13"/>
      <c r="C26" s="13"/>
      <c r="D26" s="13"/>
    </row>
    <row r="27" spans="1:4" x14ac:dyDescent="0.25">
      <c r="A27" s="87"/>
    </row>
    <row r="28" spans="1:4" ht="30" customHeight="1" x14ac:dyDescent="0.25">
      <c r="A28" s="113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-6822542.450000003</v>
      </c>
      <c r="D33" s="61">
        <f>D25+D29</f>
        <v>-2699771.3900000155</v>
      </c>
    </row>
    <row r="34" spans="1:4" x14ac:dyDescent="0.25">
      <c r="A34" s="58"/>
      <c r="B34" s="58"/>
      <c r="C34" s="58"/>
      <c r="D34" s="58"/>
    </row>
    <row r="35" spans="1:4" x14ac:dyDescent="0.25">
      <c r="A35" s="87"/>
    </row>
    <row r="36" spans="1:4" ht="30" x14ac:dyDescent="0.25">
      <c r="A36" s="113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3000000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149">
        <v>3000000</v>
      </c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-3000000</v>
      </c>
      <c r="C44" s="61">
        <f>C37-C40</f>
        <v>0</v>
      </c>
      <c r="D44" s="61">
        <f>D37-D40</f>
        <v>0</v>
      </c>
    </row>
    <row r="45" spans="1:4" x14ac:dyDescent="0.25">
      <c r="A45" s="138"/>
      <c r="B45" s="58"/>
      <c r="C45" s="58"/>
      <c r="D45" s="58"/>
    </row>
    <row r="46" spans="1:4" x14ac:dyDescent="0.25"/>
    <row r="47" spans="1:4" ht="30" x14ac:dyDescent="0.25">
      <c r="A47" s="113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2" t="s">
        <v>198</v>
      </c>
      <c r="B48" s="120">
        <f>B9</f>
        <v>55530488</v>
      </c>
      <c r="C48" s="120">
        <f>C9</f>
        <v>57382231.490000002</v>
      </c>
      <c r="D48" s="120">
        <f>D9</f>
        <v>57382231.490000002</v>
      </c>
    </row>
    <row r="49" spans="1:4" x14ac:dyDescent="0.25">
      <c r="A49" s="123" t="s">
        <v>199</v>
      </c>
      <c r="B49" s="61">
        <f>B50-B51</f>
        <v>-3000000</v>
      </c>
      <c r="C49" s="61">
        <f>C50-C51</f>
        <v>0</v>
      </c>
      <c r="D49" s="61">
        <f>D50-D51</f>
        <v>0</v>
      </c>
    </row>
    <row r="50" spans="1:4" x14ac:dyDescent="0.25">
      <c r="A50" s="124" t="s">
        <v>192</v>
      </c>
      <c r="B50" s="60"/>
      <c r="C50" s="60"/>
      <c r="D50" s="60"/>
    </row>
    <row r="51" spans="1:4" x14ac:dyDescent="0.25">
      <c r="A51" s="124" t="s">
        <v>195</v>
      </c>
      <c r="B51" s="149">
        <v>3000000</v>
      </c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55530488</v>
      </c>
      <c r="C53" s="60">
        <f>C14</f>
        <v>51481044.359999999</v>
      </c>
      <c r="D53" s="60">
        <f>D14</f>
        <v>48690378.380000003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1">
        <f>B18</f>
        <v>0</v>
      </c>
      <c r="C55" s="60">
        <f>C18</f>
        <v>2405289.83</v>
      </c>
      <c r="D55" s="60">
        <f>D18</f>
        <v>2405289.83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6" t="s">
        <v>201</v>
      </c>
      <c r="B57" s="61">
        <f>B48+B49-B53+B55</f>
        <v>-3000000</v>
      </c>
      <c r="C57" s="61">
        <f>C48+C49-C53+C55</f>
        <v>8306476.9600000028</v>
      </c>
      <c r="D57" s="61">
        <f>D48+D49-D53+D55</f>
        <v>11097142.939999999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6" t="s">
        <v>200</v>
      </c>
      <c r="B59" s="61">
        <f>B57-B49</f>
        <v>0</v>
      </c>
      <c r="C59" s="61">
        <f>C57-C49</f>
        <v>8306476.9600000028</v>
      </c>
      <c r="D59" s="61">
        <f>D57-D49</f>
        <v>11097142.939999999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3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2" t="s">
        <v>170</v>
      </c>
      <c r="B63" s="118">
        <f>B10</f>
        <v>38600000</v>
      </c>
      <c r="C63" s="118">
        <f>C10</f>
        <v>55107095.450000003</v>
      </c>
      <c r="D63" s="118">
        <f>D10</f>
        <v>55107095.450000003</v>
      </c>
    </row>
    <row r="64" spans="1:4" ht="30" x14ac:dyDescent="0.25">
      <c r="A64" s="123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4" t="s">
        <v>193</v>
      </c>
      <c r="B65" s="23"/>
      <c r="C65" s="23"/>
      <c r="D65" s="23"/>
    </row>
    <row r="66" spans="1:4" x14ac:dyDescent="0.25">
      <c r="A66" s="124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38600000</v>
      </c>
      <c r="C68" s="23">
        <f>C15</f>
        <v>67830825.030000001</v>
      </c>
      <c r="D68" s="23">
        <f>D15</f>
        <v>66498719.950000003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19">
        <f>B19</f>
        <v>0</v>
      </c>
      <c r="C70" s="23">
        <f>C19</f>
        <v>18916666.66</v>
      </c>
      <c r="D70" s="23">
        <f>D19</f>
        <v>18916666.66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6" t="s">
        <v>205</v>
      </c>
      <c r="B72" s="40">
        <f>B63+B64-B68+B70</f>
        <v>0</v>
      </c>
      <c r="C72" s="40">
        <f>C63+C64-C68+C70</f>
        <v>6192937.0800000019</v>
      </c>
      <c r="D72" s="40">
        <f>D63+D64-D68+D70</f>
        <v>7525042.1600000001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6" t="s">
        <v>204</v>
      </c>
      <c r="B74" s="40">
        <f>B72-B64</f>
        <v>0</v>
      </c>
      <c r="C74" s="40">
        <f>C72-C64</f>
        <v>6192937.0800000019</v>
      </c>
      <c r="D74" s="40">
        <f>D72-D64</f>
        <v>7525042.1600000001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91130488</v>
      </c>
      <c r="Q2" s="18">
        <f>'Formato 4'!C8</f>
        <v>112489326.94</v>
      </c>
      <c r="R2" s="18">
        <f>'Formato 4'!D8</f>
        <v>112489326.94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55530488</v>
      </c>
      <c r="Q3" s="18">
        <f>'Formato 4'!C9</f>
        <v>57382231.490000002</v>
      </c>
      <c r="R3" s="18">
        <f>'Formato 4'!D9</f>
        <v>57382231.490000002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38600000</v>
      </c>
      <c r="Q4" s="18">
        <f>'Formato 4'!C10</f>
        <v>55107095.450000003</v>
      </c>
      <c r="R4" s="18">
        <f>'Formato 4'!D10</f>
        <v>55107095.450000003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-3000000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94130488</v>
      </c>
      <c r="Q6" s="18">
        <f>'Formato 4'!C13</f>
        <v>119311869.39</v>
      </c>
      <c r="R6" s="18">
        <f>'Formato 4'!D13</f>
        <v>115189098.33000001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55530488</v>
      </c>
      <c r="Q7" s="18">
        <f>'Formato 4'!C14</f>
        <v>51481044.359999999</v>
      </c>
      <c r="R7" s="18">
        <f>'Formato 4'!D14</f>
        <v>48690378.380000003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38600000</v>
      </c>
      <c r="Q8" s="18">
        <f>'Formato 4'!C15</f>
        <v>67830825.030000001</v>
      </c>
      <c r="R8" s="18">
        <f>'Formato 4'!D15</f>
        <v>66498719.950000003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21321956.490000002</v>
      </c>
      <c r="R9" s="18">
        <f>'Formato 4'!D17</f>
        <v>21321956.490000002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2405289.83</v>
      </c>
      <c r="R10" s="18">
        <f>'Formato 4'!D18</f>
        <v>2405289.83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18916666.66</v>
      </c>
      <c r="R11" s="18">
        <f>'Formato 4'!D19</f>
        <v>18916666.66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-3000000</v>
      </c>
      <c r="Q12" s="18">
        <f>'Formato 4'!C21</f>
        <v>14499414.039999999</v>
      </c>
      <c r="R12" s="18">
        <f>'Formato 4'!D21</f>
        <v>18622185.099999987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14499414.039999999</v>
      </c>
      <c r="R13" s="18">
        <f>'Formato 4'!D23</f>
        <v>18622185.099999987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-6822542.450000003</v>
      </c>
      <c r="R14" s="18">
        <f>'Formato 4'!D25</f>
        <v>-2699771.3900000155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-6822542.450000003</v>
      </c>
      <c r="R18">
        <f>'Formato 4'!D33</f>
        <v>-2699771.3900000155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3000000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3000000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-3000000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55530488</v>
      </c>
      <c r="Q26">
        <f>'Formato 4'!C48</f>
        <v>57382231.490000002</v>
      </c>
      <c r="R26">
        <f>'Formato 4'!D48</f>
        <v>57382231.490000002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-3000000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3000000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55530488</v>
      </c>
      <c r="Q30">
        <f>'Formato 4'!C53</f>
        <v>51481044.359999999</v>
      </c>
      <c r="R30">
        <f>'Formato 4'!D53</f>
        <v>48690378.380000003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2405289.83</v>
      </c>
      <c r="R31">
        <f>'Formato 4'!D55</f>
        <v>2405289.83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38600000</v>
      </c>
      <c r="Q32">
        <f>'Formato 4'!C63</f>
        <v>55107095.450000003</v>
      </c>
      <c r="R32">
        <f>'Formato 4'!D63</f>
        <v>55107095.450000003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38600000</v>
      </c>
      <c r="Q36">
        <f>'Formato 4'!C68</f>
        <v>67830825.030000001</v>
      </c>
      <c r="R36">
        <f>'Formato 4'!D68</f>
        <v>66498719.950000003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18916666.66</v>
      </c>
      <c r="R37">
        <f>'Formato 4'!D70</f>
        <v>18916666.66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6192937.0800000019</v>
      </c>
      <c r="R38">
        <f>'Formato 4'!D72</f>
        <v>7525042.1600000001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6192937.0800000019</v>
      </c>
      <c r="R39">
        <f>'Formato 4'!D74</f>
        <v>7525042.1600000001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49" zoomScale="70" zoomScaleNormal="70" workbookViewId="0">
      <selection activeCell="F31" sqref="F31:G40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88" customFormat="1" ht="37.5" customHeight="1" x14ac:dyDescent="0.25">
      <c r="A1" s="189" t="s">
        <v>206</v>
      </c>
      <c r="B1" s="189"/>
      <c r="C1" s="189"/>
      <c r="D1" s="189"/>
      <c r="E1" s="189"/>
      <c r="F1" s="189"/>
      <c r="G1" s="189"/>
    </row>
    <row r="2" spans="1:8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3"/>
    </row>
    <row r="3" spans="1:8" x14ac:dyDescent="0.25">
      <c r="A3" s="174" t="s">
        <v>207</v>
      </c>
      <c r="B3" s="175"/>
      <c r="C3" s="175"/>
      <c r="D3" s="175"/>
      <c r="E3" s="175"/>
      <c r="F3" s="175"/>
      <c r="G3" s="176"/>
    </row>
    <row r="4" spans="1:8" x14ac:dyDescent="0.25">
      <c r="A4" s="177" t="str">
        <f>TRIMESTRE</f>
        <v>Del 1 de enero al 31 de diciembre de 2020 (b)</v>
      </c>
      <c r="B4" s="178"/>
      <c r="C4" s="178"/>
      <c r="D4" s="178"/>
      <c r="E4" s="178"/>
      <c r="F4" s="178"/>
      <c r="G4" s="179"/>
    </row>
    <row r="5" spans="1:8" x14ac:dyDescent="0.25">
      <c r="A5" s="180" t="s">
        <v>118</v>
      </c>
      <c r="B5" s="181"/>
      <c r="C5" s="181"/>
      <c r="D5" s="181"/>
      <c r="E5" s="181"/>
      <c r="F5" s="181"/>
      <c r="G5" s="182"/>
    </row>
    <row r="6" spans="1:8" x14ac:dyDescent="0.25">
      <c r="A6" s="186" t="s">
        <v>214</v>
      </c>
      <c r="B6" s="188" t="s">
        <v>208</v>
      </c>
      <c r="C6" s="188"/>
      <c r="D6" s="188"/>
      <c r="E6" s="188"/>
      <c r="F6" s="188"/>
      <c r="G6" s="188" t="s">
        <v>209</v>
      </c>
    </row>
    <row r="7" spans="1:8" ht="30" x14ac:dyDescent="0.25">
      <c r="A7" s="187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8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49">
        <v>1184608.8</v>
      </c>
      <c r="C9" s="149">
        <v>-171571.07</v>
      </c>
      <c r="D9" s="150">
        <f>B9+C9</f>
        <v>1013037.73</v>
      </c>
      <c r="E9" s="149">
        <v>1013037.73</v>
      </c>
      <c r="F9" s="149">
        <v>1013037.73</v>
      </c>
      <c r="G9" s="150">
        <f>F9-B9</f>
        <v>-171571.07000000007</v>
      </c>
      <c r="H9" s="8"/>
    </row>
    <row r="10" spans="1:8" x14ac:dyDescent="0.25">
      <c r="A10" s="53" t="s">
        <v>217</v>
      </c>
      <c r="B10" s="149">
        <v>0</v>
      </c>
      <c r="C10" s="149">
        <v>0</v>
      </c>
      <c r="D10" s="150">
        <f t="shared" ref="D10:D15" si="0">B10+C10</f>
        <v>0</v>
      </c>
      <c r="E10" s="149">
        <v>0</v>
      </c>
      <c r="F10" s="149">
        <v>0</v>
      </c>
      <c r="G10" s="150">
        <f t="shared" ref="G10:G15" si="1">F10-B10</f>
        <v>0</v>
      </c>
    </row>
    <row r="11" spans="1:8" x14ac:dyDescent="0.25">
      <c r="A11" s="53" t="s">
        <v>218</v>
      </c>
      <c r="B11" s="149">
        <v>0</v>
      </c>
      <c r="C11" s="149">
        <v>10000</v>
      </c>
      <c r="D11" s="150">
        <f t="shared" si="0"/>
        <v>10000</v>
      </c>
      <c r="E11" s="149">
        <v>10000</v>
      </c>
      <c r="F11" s="149">
        <v>10000</v>
      </c>
      <c r="G11" s="150">
        <f t="shared" si="1"/>
        <v>10000</v>
      </c>
    </row>
    <row r="12" spans="1:8" x14ac:dyDescent="0.25">
      <c r="A12" s="53" t="s">
        <v>219</v>
      </c>
      <c r="B12" s="149">
        <v>1925116</v>
      </c>
      <c r="C12" s="149">
        <v>488178.02</v>
      </c>
      <c r="D12" s="150">
        <f t="shared" si="0"/>
        <v>2413294.02</v>
      </c>
      <c r="E12" s="149">
        <v>2413294.02</v>
      </c>
      <c r="F12" s="149">
        <v>2413294.02</v>
      </c>
      <c r="G12" s="150">
        <f t="shared" si="1"/>
        <v>488178.02</v>
      </c>
    </row>
    <row r="13" spans="1:8" x14ac:dyDescent="0.25">
      <c r="A13" s="53" t="s">
        <v>220</v>
      </c>
      <c r="B13" s="149">
        <v>56247.199999999997</v>
      </c>
      <c r="C13" s="149">
        <v>93116.61</v>
      </c>
      <c r="D13" s="150">
        <f t="shared" si="0"/>
        <v>149363.81</v>
      </c>
      <c r="E13" s="149">
        <v>149363.81</v>
      </c>
      <c r="F13" s="149">
        <v>149363.81</v>
      </c>
      <c r="G13" s="150">
        <f t="shared" si="1"/>
        <v>93116.61</v>
      </c>
    </row>
    <row r="14" spans="1:8" x14ac:dyDescent="0.25">
      <c r="A14" s="53" t="s">
        <v>221</v>
      </c>
      <c r="B14" s="149">
        <v>242516</v>
      </c>
      <c r="C14" s="149">
        <v>-44821.14</v>
      </c>
      <c r="D14" s="150">
        <f t="shared" si="0"/>
        <v>197694.86</v>
      </c>
      <c r="E14" s="149">
        <v>197694.86</v>
      </c>
      <c r="F14" s="149">
        <v>197694.86</v>
      </c>
      <c r="G14" s="150">
        <f t="shared" si="1"/>
        <v>-44821.140000000014</v>
      </c>
    </row>
    <row r="15" spans="1:8" x14ac:dyDescent="0.25">
      <c r="A15" s="53" t="s">
        <v>222</v>
      </c>
      <c r="B15" s="149">
        <v>0</v>
      </c>
      <c r="C15" s="149">
        <v>0</v>
      </c>
      <c r="D15" s="150">
        <f t="shared" si="0"/>
        <v>0</v>
      </c>
      <c r="E15" s="149">
        <v>0</v>
      </c>
      <c r="F15" s="149">
        <v>0</v>
      </c>
      <c r="G15" s="150">
        <f t="shared" si="1"/>
        <v>0</v>
      </c>
    </row>
    <row r="16" spans="1:8" x14ac:dyDescent="0.25">
      <c r="A16" s="10" t="s">
        <v>275</v>
      </c>
      <c r="B16" s="60">
        <f t="shared" ref="B16:G16" si="2">SUM(B17:B27)</f>
        <v>50981000</v>
      </c>
      <c r="C16" s="60">
        <f t="shared" si="2"/>
        <v>917007.93</v>
      </c>
      <c r="D16" s="60">
        <f t="shared" si="2"/>
        <v>51898007.93</v>
      </c>
      <c r="E16" s="60">
        <f t="shared" si="2"/>
        <v>51898007.93</v>
      </c>
      <c r="F16" s="60">
        <f t="shared" si="2"/>
        <v>51898007.93</v>
      </c>
      <c r="G16" s="60">
        <f t="shared" si="2"/>
        <v>917007.9299999997</v>
      </c>
    </row>
    <row r="17" spans="1:7" x14ac:dyDescent="0.25">
      <c r="A17" s="63" t="s">
        <v>223</v>
      </c>
      <c r="B17" s="149">
        <v>50981000</v>
      </c>
      <c r="C17" s="149">
        <v>917007.93</v>
      </c>
      <c r="D17" s="150">
        <f t="shared" ref="D17" si="3">B17+C17</f>
        <v>51898007.93</v>
      </c>
      <c r="E17" s="149">
        <v>51898007.93</v>
      </c>
      <c r="F17" s="149">
        <v>51898007.93</v>
      </c>
      <c r="G17" s="150">
        <f t="shared" ref="G17" si="4">F17-B17</f>
        <v>917007.9299999997</v>
      </c>
    </row>
    <row r="18" spans="1:7" x14ac:dyDescent="0.25">
      <c r="A18" s="63" t="s">
        <v>224</v>
      </c>
      <c r="B18" s="60"/>
      <c r="C18" s="60"/>
      <c r="D18" s="60"/>
      <c r="E18" s="60"/>
      <c r="F18" s="60"/>
      <c r="G18" s="60">
        <f t="shared" ref="G18:G27" si="5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5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5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5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5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5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5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5"/>
        <v>0</v>
      </c>
    </row>
    <row r="26" spans="1:7" x14ac:dyDescent="0.25">
      <c r="A26" s="63" t="s">
        <v>232</v>
      </c>
      <c r="B26" s="60"/>
      <c r="C26" s="60"/>
      <c r="D26" s="60"/>
      <c r="E26" s="60"/>
      <c r="F26" s="60"/>
      <c r="G26" s="60">
        <f t="shared" si="5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5"/>
        <v>0</v>
      </c>
    </row>
    <row r="28" spans="1:7" x14ac:dyDescent="0.25">
      <c r="A28" s="53" t="s">
        <v>234</v>
      </c>
      <c r="B28" s="60">
        <f t="shared" ref="B28:G28" si="6">SUM(B29:B33)</f>
        <v>1141000</v>
      </c>
      <c r="C28" s="60">
        <f t="shared" si="6"/>
        <v>-659544.22</v>
      </c>
      <c r="D28" s="60">
        <f t="shared" si="6"/>
        <v>481455.78</v>
      </c>
      <c r="E28" s="60">
        <f t="shared" si="6"/>
        <v>481455.78</v>
      </c>
      <c r="F28" s="60">
        <f t="shared" si="6"/>
        <v>481455.78</v>
      </c>
      <c r="G28" s="60">
        <f t="shared" si="6"/>
        <v>-659544.22</v>
      </c>
    </row>
    <row r="29" spans="1:7" x14ac:dyDescent="0.25">
      <c r="A29" s="63" t="s">
        <v>235</v>
      </c>
      <c r="B29" s="149">
        <v>1141000</v>
      </c>
      <c r="C29" s="149">
        <v>-659544.22</v>
      </c>
      <c r="D29" s="150">
        <f t="shared" ref="D29:D30" si="7">B29+C29</f>
        <v>481455.78</v>
      </c>
      <c r="E29" s="149">
        <v>481455.78</v>
      </c>
      <c r="F29" s="149">
        <v>481455.78</v>
      </c>
      <c r="G29" s="150">
        <f t="shared" ref="G29:G30" si="8">F29-B29</f>
        <v>-659544.22</v>
      </c>
    </row>
    <row r="30" spans="1:7" x14ac:dyDescent="0.25">
      <c r="A30" s="63" t="s">
        <v>236</v>
      </c>
      <c r="B30" s="150"/>
      <c r="C30" s="150"/>
      <c r="D30" s="150">
        <f t="shared" si="7"/>
        <v>0</v>
      </c>
      <c r="E30" s="150"/>
      <c r="F30" s="150"/>
      <c r="G30" s="150">
        <f t="shared" si="8"/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ref="G31:G34" si="9">F31-B31</f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9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9"/>
        <v>0</v>
      </c>
    </row>
    <row r="34" spans="1:8" x14ac:dyDescent="0.25">
      <c r="A34" s="53" t="s">
        <v>240</v>
      </c>
      <c r="B34" s="60"/>
      <c r="C34" s="60"/>
      <c r="D34" s="60"/>
      <c r="E34" s="60"/>
      <c r="F34" s="60"/>
      <c r="G34" s="60">
        <f t="shared" si="9"/>
        <v>0</v>
      </c>
    </row>
    <row r="35" spans="1:8" x14ac:dyDescent="0.25">
      <c r="A35" s="53" t="s">
        <v>241</v>
      </c>
      <c r="B35" s="60">
        <f t="shared" ref="B35:G35" si="10">B36</f>
        <v>0</v>
      </c>
      <c r="C35" s="60">
        <f t="shared" si="10"/>
        <v>1219377.3600000001</v>
      </c>
      <c r="D35" s="60">
        <f t="shared" si="10"/>
        <v>1219377.3600000001</v>
      </c>
      <c r="E35" s="60">
        <f t="shared" si="10"/>
        <v>1219377.3600000001</v>
      </c>
      <c r="F35" s="60">
        <f t="shared" si="10"/>
        <v>1219377.3600000001</v>
      </c>
      <c r="G35" s="60">
        <f t="shared" si="10"/>
        <v>1219377.3600000001</v>
      </c>
    </row>
    <row r="36" spans="1:8" x14ac:dyDescent="0.25">
      <c r="A36" s="63" t="s">
        <v>242</v>
      </c>
      <c r="B36" s="149">
        <v>0</v>
      </c>
      <c r="C36" s="149">
        <v>1219377.3600000001</v>
      </c>
      <c r="D36" s="150">
        <f>B36+C36</f>
        <v>1219377.3600000001</v>
      </c>
      <c r="E36" s="149">
        <v>1219377.3600000001</v>
      </c>
      <c r="F36" s="149">
        <v>1219377.3600000001</v>
      </c>
      <c r="G36" s="150">
        <f t="shared" ref="G36" si="11">F36-B36</f>
        <v>1219377.3600000001</v>
      </c>
    </row>
    <row r="37" spans="1:8" x14ac:dyDescent="0.25">
      <c r="A37" s="53" t="s">
        <v>243</v>
      </c>
      <c r="B37" s="60">
        <f t="shared" ref="B37:G37" si="12">B38+B39</f>
        <v>0</v>
      </c>
      <c r="C37" s="60">
        <f t="shared" si="12"/>
        <v>0</v>
      </c>
      <c r="D37" s="60">
        <f t="shared" si="12"/>
        <v>0</v>
      </c>
      <c r="E37" s="60">
        <f t="shared" si="12"/>
        <v>0</v>
      </c>
      <c r="F37" s="60">
        <f t="shared" si="12"/>
        <v>0</v>
      </c>
      <c r="G37" s="60">
        <f t="shared" si="12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13">SUM(B9,B10,B11,B12,B13,B14,B15,B16,B28,B34,B35,B37)</f>
        <v>55530488</v>
      </c>
      <c r="C41" s="61">
        <f t="shared" si="13"/>
        <v>1851743.4900000002</v>
      </c>
      <c r="D41" s="61">
        <f t="shared" si="13"/>
        <v>57382231.490000002</v>
      </c>
      <c r="E41" s="61">
        <f t="shared" si="13"/>
        <v>57382231.490000002</v>
      </c>
      <c r="F41" s="61">
        <f t="shared" si="13"/>
        <v>57382231.490000002</v>
      </c>
      <c r="G41" s="61">
        <f t="shared" si="13"/>
        <v>1851743.4899999998</v>
      </c>
    </row>
    <row r="42" spans="1:8" x14ac:dyDescent="0.25">
      <c r="A42" s="55" t="s">
        <v>246</v>
      </c>
      <c r="B42" s="125"/>
      <c r="C42" s="125"/>
      <c r="D42" s="125"/>
      <c r="E42" s="125"/>
      <c r="F42" s="125"/>
      <c r="G42" s="61">
        <f>IF(G41&gt;0,G41,0)</f>
        <v>1851743.4899999998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14">SUM(B46:B53)</f>
        <v>38600000</v>
      </c>
      <c r="C45" s="60">
        <f t="shared" si="14"/>
        <v>316088</v>
      </c>
      <c r="D45" s="60">
        <f t="shared" si="14"/>
        <v>38916088</v>
      </c>
      <c r="E45" s="60">
        <f t="shared" si="14"/>
        <v>38916088</v>
      </c>
      <c r="F45" s="60">
        <f t="shared" si="14"/>
        <v>38916088</v>
      </c>
      <c r="G45" s="60">
        <f t="shared" si="14"/>
        <v>316088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>
        <f>F46-B46</f>
        <v>0</v>
      </c>
    </row>
    <row r="47" spans="1:8" x14ac:dyDescent="0.25">
      <c r="A47" s="69" t="s">
        <v>250</v>
      </c>
      <c r="B47" s="149">
        <v>25500000</v>
      </c>
      <c r="C47" s="149">
        <v>218557</v>
      </c>
      <c r="D47" s="150">
        <f t="shared" ref="D47:D48" si="15">B47+C47</f>
        <v>25718557</v>
      </c>
      <c r="E47" s="149">
        <v>25718557</v>
      </c>
      <c r="F47" s="149">
        <v>25718557</v>
      </c>
      <c r="G47" s="150">
        <f t="shared" ref="G47" si="16">F47-B47</f>
        <v>218557</v>
      </c>
    </row>
    <row r="48" spans="1:8" x14ac:dyDescent="0.25">
      <c r="A48" s="69" t="s">
        <v>251</v>
      </c>
      <c r="B48" s="149">
        <v>13100000</v>
      </c>
      <c r="C48" s="149">
        <v>97531</v>
      </c>
      <c r="D48" s="150">
        <f t="shared" si="15"/>
        <v>13197531</v>
      </c>
      <c r="E48" s="149">
        <v>13197531</v>
      </c>
      <c r="F48" s="149">
        <v>13197531</v>
      </c>
      <c r="G48" s="150">
        <f>F48-B48</f>
        <v>97531</v>
      </c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>
        <f t="shared" ref="G49:G53" si="17">F49-B49</f>
        <v>0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17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17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17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17"/>
        <v>0</v>
      </c>
    </row>
    <row r="54" spans="1:7" x14ac:dyDescent="0.25">
      <c r="A54" s="53" t="s">
        <v>257</v>
      </c>
      <c r="B54" s="60">
        <f t="shared" ref="B54:G54" si="18">SUM(B55:B58)</f>
        <v>0</v>
      </c>
      <c r="C54" s="60">
        <f t="shared" si="18"/>
        <v>16191007.449999999</v>
      </c>
      <c r="D54" s="60">
        <f t="shared" si="18"/>
        <v>16191007.449999999</v>
      </c>
      <c r="E54" s="60">
        <f t="shared" si="18"/>
        <v>16191007.449999999</v>
      </c>
      <c r="F54" s="60">
        <f t="shared" si="18"/>
        <v>16191007.449999999</v>
      </c>
      <c r="G54" s="60">
        <f t="shared" si="18"/>
        <v>16191007.449999999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>F57-B57</f>
        <v>0</v>
      </c>
    </row>
    <row r="58" spans="1:7" x14ac:dyDescent="0.25">
      <c r="A58" s="48" t="s">
        <v>261</v>
      </c>
      <c r="B58" s="149">
        <v>0</v>
      </c>
      <c r="C58" s="149">
        <v>16191007.449999999</v>
      </c>
      <c r="D58" s="150">
        <f t="shared" ref="D58" si="19">B58+C58</f>
        <v>16191007.449999999</v>
      </c>
      <c r="E58" s="149">
        <v>16191007.449999999</v>
      </c>
      <c r="F58" s="149">
        <v>16191007.449999999</v>
      </c>
      <c r="G58" s="150">
        <f t="shared" ref="G58" si="20">F58-B58</f>
        <v>16191007.449999999</v>
      </c>
    </row>
    <row r="59" spans="1:7" x14ac:dyDescent="0.25">
      <c r="A59" s="53" t="s">
        <v>262</v>
      </c>
      <c r="B59" s="60">
        <f t="shared" ref="B59:G59" si="21">SUM(B60:B61)</f>
        <v>0</v>
      </c>
      <c r="C59" s="60">
        <f t="shared" si="21"/>
        <v>0</v>
      </c>
      <c r="D59" s="60">
        <f t="shared" si="21"/>
        <v>0</v>
      </c>
      <c r="E59" s="60">
        <f t="shared" si="21"/>
        <v>0</v>
      </c>
      <c r="F59" s="60">
        <f t="shared" si="21"/>
        <v>0</v>
      </c>
      <c r="G59" s="60">
        <f t="shared" si="21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22">B45+B54+B59+B62+B63</f>
        <v>38600000</v>
      </c>
      <c r="C65" s="61">
        <f t="shared" si="22"/>
        <v>16507095.449999999</v>
      </c>
      <c r="D65" s="61">
        <f t="shared" si="22"/>
        <v>55107095.450000003</v>
      </c>
      <c r="E65" s="61">
        <f t="shared" si="22"/>
        <v>55107095.450000003</v>
      </c>
      <c r="F65" s="61">
        <f t="shared" si="22"/>
        <v>55107095.450000003</v>
      </c>
      <c r="G65" s="61">
        <f t="shared" si="22"/>
        <v>16507095.449999999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23">B68</f>
        <v>0</v>
      </c>
      <c r="C67" s="61">
        <f t="shared" si="23"/>
        <v>0</v>
      </c>
      <c r="D67" s="61">
        <f t="shared" si="23"/>
        <v>0</v>
      </c>
      <c r="E67" s="61">
        <f t="shared" si="23"/>
        <v>0</v>
      </c>
      <c r="F67" s="61">
        <f t="shared" si="23"/>
        <v>0</v>
      </c>
      <c r="G67" s="61">
        <f t="shared" si="23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24">B41+B65+B67</f>
        <v>94130488</v>
      </c>
      <c r="C70" s="61">
        <f t="shared" si="24"/>
        <v>18358838.939999998</v>
      </c>
      <c r="D70" s="61">
        <f t="shared" si="24"/>
        <v>112489326.94</v>
      </c>
      <c r="E70" s="61">
        <f t="shared" si="24"/>
        <v>112489326.94</v>
      </c>
      <c r="F70" s="61">
        <f t="shared" si="24"/>
        <v>112489326.94</v>
      </c>
      <c r="G70" s="61">
        <f t="shared" si="24"/>
        <v>18358838.939999998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6" t="s">
        <v>272</v>
      </c>
      <c r="B73" s="60"/>
      <c r="C73" s="60"/>
      <c r="D73" s="60"/>
      <c r="E73" s="60"/>
      <c r="F73" s="60"/>
      <c r="G73" s="60">
        <f>F73-B73</f>
        <v>0</v>
      </c>
    </row>
    <row r="74" spans="1:7" ht="30" x14ac:dyDescent="0.25">
      <c r="A74" s="126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16" t="s">
        <v>274</v>
      </c>
      <c r="B75" s="61">
        <f t="shared" ref="B75:G75" si="25">B73+B74</f>
        <v>0</v>
      </c>
      <c r="C75" s="61">
        <f t="shared" si="25"/>
        <v>0</v>
      </c>
      <c r="D75" s="61">
        <f t="shared" si="25"/>
        <v>0</v>
      </c>
      <c r="E75" s="61">
        <f t="shared" si="25"/>
        <v>0</v>
      </c>
      <c r="F75" s="61">
        <f t="shared" si="25"/>
        <v>0</v>
      </c>
      <c r="G75" s="61">
        <f t="shared" si="2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1184608.8</v>
      </c>
      <c r="Q3" s="18">
        <f>'Formato 5'!C9</f>
        <v>-171571.07</v>
      </c>
      <c r="R3" s="18">
        <f>'Formato 5'!D9</f>
        <v>1013037.73</v>
      </c>
      <c r="S3" s="18">
        <f>'Formato 5'!E9</f>
        <v>1013037.73</v>
      </c>
      <c r="T3" s="18">
        <f>'Formato 5'!F9</f>
        <v>1013037.73</v>
      </c>
      <c r="U3" s="18">
        <f>'Formato 5'!G9</f>
        <v>-171571.07000000007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10000</v>
      </c>
      <c r="R5" s="18">
        <f>'Formato 5'!D11</f>
        <v>10000</v>
      </c>
      <c r="S5" s="18">
        <f>'Formato 5'!E11</f>
        <v>10000</v>
      </c>
      <c r="T5" s="18">
        <f>'Formato 5'!F11</f>
        <v>10000</v>
      </c>
      <c r="U5" s="18">
        <f>'Formato 5'!G11</f>
        <v>10000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1925116</v>
      </c>
      <c r="Q6" s="18">
        <f>'Formato 5'!C12</f>
        <v>488178.02</v>
      </c>
      <c r="R6" s="18">
        <f>'Formato 5'!D12</f>
        <v>2413294.02</v>
      </c>
      <c r="S6" s="18">
        <f>'Formato 5'!E12</f>
        <v>2413294.02</v>
      </c>
      <c r="T6" s="18">
        <f>'Formato 5'!F12</f>
        <v>2413294.02</v>
      </c>
      <c r="U6" s="18">
        <f>'Formato 5'!G12</f>
        <v>488178.02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56247.199999999997</v>
      </c>
      <c r="Q7" s="18">
        <f>'Formato 5'!C13</f>
        <v>93116.61</v>
      </c>
      <c r="R7" s="18">
        <f>'Formato 5'!D13</f>
        <v>149363.81</v>
      </c>
      <c r="S7" s="18">
        <f>'Formato 5'!E13</f>
        <v>149363.81</v>
      </c>
      <c r="T7" s="18">
        <f>'Formato 5'!F13</f>
        <v>149363.81</v>
      </c>
      <c r="U7" s="18">
        <f>'Formato 5'!G13</f>
        <v>93116.61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242516</v>
      </c>
      <c r="Q8" s="18">
        <f>'Formato 5'!C14</f>
        <v>-44821.14</v>
      </c>
      <c r="R8" s="18">
        <f>'Formato 5'!D14</f>
        <v>197694.86</v>
      </c>
      <c r="S8" s="18">
        <f>'Formato 5'!E14</f>
        <v>197694.86</v>
      </c>
      <c r="T8" s="18">
        <f>'Formato 5'!F14</f>
        <v>197694.86</v>
      </c>
      <c r="U8" s="18">
        <f>'Formato 5'!G14</f>
        <v>-44821.140000000014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50981000</v>
      </c>
      <c r="Q10" s="18">
        <f>'Formato 5'!C16</f>
        <v>917007.93</v>
      </c>
      <c r="R10" s="18">
        <f>'Formato 5'!D16</f>
        <v>51898007.93</v>
      </c>
      <c r="S10" s="18">
        <f>'Formato 5'!E16</f>
        <v>51898007.93</v>
      </c>
      <c r="T10" s="18">
        <f>'Formato 5'!F16</f>
        <v>51898007.93</v>
      </c>
      <c r="U10" s="18">
        <f>'Formato 5'!G16</f>
        <v>917007.9299999997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50981000</v>
      </c>
      <c r="Q11" s="18">
        <f>'Formato 5'!C17</f>
        <v>917007.93</v>
      </c>
      <c r="R11" s="18">
        <f>'Formato 5'!D17</f>
        <v>51898007.93</v>
      </c>
      <c r="S11" s="18">
        <f>'Formato 5'!E17</f>
        <v>51898007.93</v>
      </c>
      <c r="T11" s="18">
        <f>'Formato 5'!F17</f>
        <v>51898007.93</v>
      </c>
      <c r="U11" s="18">
        <f>'Formato 5'!G17</f>
        <v>917007.9299999997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1141000</v>
      </c>
      <c r="Q22" s="18">
        <f>'Formato 5'!C28</f>
        <v>-659544.22</v>
      </c>
      <c r="R22" s="18">
        <f>'Formato 5'!D28</f>
        <v>481455.78</v>
      </c>
      <c r="S22" s="18">
        <f>'Formato 5'!E28</f>
        <v>481455.78</v>
      </c>
      <c r="T22" s="18">
        <f>'Formato 5'!F28</f>
        <v>481455.78</v>
      </c>
      <c r="U22" s="18">
        <f>'Formato 5'!G28</f>
        <v>-659544.22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1141000</v>
      </c>
      <c r="Q23" s="18">
        <f>'Formato 5'!C29</f>
        <v>-659544.22</v>
      </c>
      <c r="R23" s="18">
        <f>'Formato 5'!D29</f>
        <v>481455.78</v>
      </c>
      <c r="S23" s="18">
        <f>'Formato 5'!E29</f>
        <v>481455.78</v>
      </c>
      <c r="T23" s="18">
        <f>'Formato 5'!F29</f>
        <v>481455.78</v>
      </c>
      <c r="U23" s="18">
        <f>'Formato 5'!G29</f>
        <v>-659544.22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1219377.3600000001</v>
      </c>
      <c r="R29" s="18">
        <f>'Formato 5'!D35</f>
        <v>1219377.3600000001</v>
      </c>
      <c r="S29" s="18">
        <f>'Formato 5'!E35</f>
        <v>1219377.3600000001</v>
      </c>
      <c r="T29" s="18">
        <f>'Formato 5'!F35</f>
        <v>1219377.3600000001</v>
      </c>
      <c r="U29" s="18">
        <f>'Formato 5'!G35</f>
        <v>1219377.3600000001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1219377.3600000001</v>
      </c>
      <c r="R30" s="18">
        <f>'Formato 5'!D36</f>
        <v>1219377.3600000001</v>
      </c>
      <c r="S30" s="18">
        <f>'Formato 5'!E36</f>
        <v>1219377.3600000001</v>
      </c>
      <c r="T30" s="18">
        <f>'Formato 5'!F36</f>
        <v>1219377.3600000001</v>
      </c>
      <c r="U30" s="18">
        <f>'Formato 5'!G36</f>
        <v>1219377.3600000001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55530488</v>
      </c>
      <c r="Q34">
        <f>'Formato 5'!C41</f>
        <v>1851743.4900000002</v>
      </c>
      <c r="R34">
        <f>'Formato 5'!D41</f>
        <v>57382231.490000002</v>
      </c>
      <c r="S34">
        <f>'Formato 5'!E41</f>
        <v>57382231.490000002</v>
      </c>
      <c r="T34">
        <f>'Formato 5'!F41</f>
        <v>57382231.490000002</v>
      </c>
      <c r="U34">
        <f>'Formato 5'!G41</f>
        <v>1851743.4899999998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1851743.4899999998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38600000</v>
      </c>
      <c r="Q37">
        <f>'Formato 5'!C45</f>
        <v>316088</v>
      </c>
      <c r="R37">
        <f>'Formato 5'!D45</f>
        <v>38916088</v>
      </c>
      <c r="S37">
        <f>'Formato 5'!E45</f>
        <v>38916088</v>
      </c>
      <c r="T37">
        <f>'Formato 5'!F45</f>
        <v>38916088</v>
      </c>
      <c r="U37">
        <f>'Formato 5'!G45</f>
        <v>316088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25500000</v>
      </c>
      <c r="Q39">
        <f>'Formato 5'!C47</f>
        <v>218557</v>
      </c>
      <c r="R39">
        <f>'Formato 5'!D47</f>
        <v>25718557</v>
      </c>
      <c r="S39">
        <f>'Formato 5'!E47</f>
        <v>25718557</v>
      </c>
      <c r="T39">
        <f>'Formato 5'!F47</f>
        <v>25718557</v>
      </c>
      <c r="U39">
        <f>'Formato 5'!G47</f>
        <v>218557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13100000</v>
      </c>
      <c r="Q40">
        <f>'Formato 5'!C48</f>
        <v>97531</v>
      </c>
      <c r="R40">
        <f>'Formato 5'!D48</f>
        <v>13197531</v>
      </c>
      <c r="S40">
        <f>'Formato 5'!E48</f>
        <v>13197531</v>
      </c>
      <c r="T40">
        <f>'Formato 5'!F48</f>
        <v>13197531</v>
      </c>
      <c r="U40">
        <f>'Formato 5'!G48</f>
        <v>97531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16191007.449999999</v>
      </c>
      <c r="R46">
        <f>'Formato 5'!D54</f>
        <v>16191007.449999999</v>
      </c>
      <c r="S46">
        <f>'Formato 5'!E54</f>
        <v>16191007.449999999</v>
      </c>
      <c r="T46">
        <f>'Formato 5'!F54</f>
        <v>16191007.449999999</v>
      </c>
      <c r="U46">
        <f>'Formato 5'!G54</f>
        <v>16191007.449999999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16191007.449999999</v>
      </c>
      <c r="R50">
        <f>'Formato 5'!D58</f>
        <v>16191007.449999999</v>
      </c>
      <c r="S50">
        <f>'Formato 5'!E58</f>
        <v>16191007.449999999</v>
      </c>
      <c r="T50">
        <f>'Formato 5'!F58</f>
        <v>16191007.449999999</v>
      </c>
      <c r="U50">
        <f>'Formato 5'!G58</f>
        <v>16191007.449999999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38600000</v>
      </c>
      <c r="Q56">
        <f>'Formato 5'!C65</f>
        <v>16507095.449999999</v>
      </c>
      <c r="R56">
        <f>'Formato 5'!D65</f>
        <v>55107095.450000003</v>
      </c>
      <c r="S56">
        <f>'Formato 5'!E65</f>
        <v>55107095.450000003</v>
      </c>
      <c r="T56">
        <f>'Formato 5'!F65</f>
        <v>55107095.450000003</v>
      </c>
      <c r="U56">
        <f>'Formato 5'!G65</f>
        <v>16507095.449999999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61"/>
  <sheetViews>
    <sheetView topLeftCell="A114" zoomScale="80" zoomScaleNormal="80" zoomScalePageLayoutView="90" workbookViewId="0">
      <selection activeCell="B159" sqref="B159"/>
    </sheetView>
  </sheetViews>
  <sheetFormatPr baseColWidth="10" defaultColWidth="0" defaultRowHeight="15" zeroHeight="1" x14ac:dyDescent="0.25"/>
  <cols>
    <col min="1" max="1" width="102.85546875" customWidth="1"/>
    <col min="2" max="6" width="20.7109375" customWidth="1"/>
    <col min="7" max="7" width="17.5703125" customWidth="1"/>
  </cols>
  <sheetData>
    <row r="1" spans="1:7" ht="56.25" customHeight="1" x14ac:dyDescent="0.25">
      <c r="A1" s="190" t="s">
        <v>3285</v>
      </c>
      <c r="B1" s="189"/>
      <c r="C1" s="189"/>
      <c r="D1" s="189"/>
      <c r="E1" s="189"/>
      <c r="F1" s="189"/>
      <c r="G1" s="189"/>
    </row>
    <row r="2" spans="1:7" x14ac:dyDescent="0.25">
      <c r="A2" s="193" t="str">
        <f>ENTE_PUBLICO_A</f>
        <v>MUNICIPIO DE TIERRA BLANCA, GUANAJUATO, Gobierno del Estado de Guanajuato (a)</v>
      </c>
      <c r="B2" s="193"/>
      <c r="C2" s="193"/>
      <c r="D2" s="193"/>
      <c r="E2" s="193"/>
      <c r="F2" s="193"/>
      <c r="G2" s="193"/>
    </row>
    <row r="3" spans="1:7" x14ac:dyDescent="0.25">
      <c r="A3" s="194" t="s">
        <v>277</v>
      </c>
      <c r="B3" s="194"/>
      <c r="C3" s="194"/>
      <c r="D3" s="194"/>
      <c r="E3" s="194"/>
      <c r="F3" s="194"/>
      <c r="G3" s="194"/>
    </row>
    <row r="4" spans="1:7" x14ac:dyDescent="0.25">
      <c r="A4" s="194" t="s">
        <v>278</v>
      </c>
      <c r="B4" s="194"/>
      <c r="C4" s="194"/>
      <c r="D4" s="194"/>
      <c r="E4" s="194"/>
      <c r="F4" s="194"/>
      <c r="G4" s="194"/>
    </row>
    <row r="5" spans="1:7" x14ac:dyDescent="0.25">
      <c r="A5" s="195" t="str">
        <f>TRIMESTRE</f>
        <v>Del 1 de enero al 31 de diciembre de 2020 (b)</v>
      </c>
      <c r="B5" s="195"/>
      <c r="C5" s="195"/>
      <c r="D5" s="195"/>
      <c r="E5" s="195"/>
      <c r="F5" s="195"/>
      <c r="G5" s="195"/>
    </row>
    <row r="6" spans="1:7" x14ac:dyDescent="0.25">
      <c r="A6" s="187" t="s">
        <v>118</v>
      </c>
      <c r="B6" s="187"/>
      <c r="C6" s="187"/>
      <c r="D6" s="187"/>
      <c r="E6" s="187"/>
      <c r="F6" s="187"/>
      <c r="G6" s="187"/>
    </row>
    <row r="7" spans="1:7" ht="15" customHeight="1" x14ac:dyDescent="0.25">
      <c r="A7" s="191" t="s">
        <v>0</v>
      </c>
      <c r="B7" s="191" t="s">
        <v>279</v>
      </c>
      <c r="C7" s="191"/>
      <c r="D7" s="191"/>
      <c r="E7" s="191"/>
      <c r="F7" s="191"/>
      <c r="G7" s="192" t="s">
        <v>280</v>
      </c>
    </row>
    <row r="8" spans="1:7" ht="30" x14ac:dyDescent="0.25">
      <c r="A8" s="191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91"/>
    </row>
    <row r="9" spans="1:7" s="160" customFormat="1" x14ac:dyDescent="0.25">
      <c r="A9" s="79" t="s">
        <v>285</v>
      </c>
      <c r="B9" s="159">
        <f t="shared" ref="B9:G9" si="0">SUM(B10,B18,B28,B38,B48,B58,B62,B71,B75)</f>
        <v>55530488</v>
      </c>
      <c r="C9" s="159">
        <f t="shared" si="0"/>
        <v>4811022.379999999</v>
      </c>
      <c r="D9" s="159">
        <f t="shared" si="0"/>
        <v>60341510.379999995</v>
      </c>
      <c r="E9" s="159">
        <f t="shared" si="0"/>
        <v>51481044.359999992</v>
      </c>
      <c r="F9" s="159">
        <f t="shared" si="0"/>
        <v>48690378.379999995</v>
      </c>
      <c r="G9" s="159">
        <f t="shared" si="0"/>
        <v>8860466.0199999996</v>
      </c>
    </row>
    <row r="10" spans="1:7" s="160" customFormat="1" x14ac:dyDescent="0.25">
      <c r="A10" s="80" t="s">
        <v>286</v>
      </c>
      <c r="B10" s="157">
        <f>SUM(B11:B17)</f>
        <v>27474287.640000001</v>
      </c>
      <c r="C10" s="157">
        <f t="shared" ref="C10:G10" si="1">SUM(C11:C17)</f>
        <v>106608.68999999994</v>
      </c>
      <c r="D10" s="157">
        <f t="shared" si="1"/>
        <v>27580896.330000002</v>
      </c>
      <c r="E10" s="157">
        <f t="shared" si="1"/>
        <v>26304670.669999998</v>
      </c>
      <c r="F10" s="157">
        <f t="shared" si="1"/>
        <v>24025998.5</v>
      </c>
      <c r="G10" s="157">
        <f t="shared" si="1"/>
        <v>1276225.6600000011</v>
      </c>
    </row>
    <row r="11" spans="1:7" s="160" customFormat="1" x14ac:dyDescent="0.25">
      <c r="A11" s="81" t="s">
        <v>287</v>
      </c>
      <c r="B11" s="158">
        <v>21028934.800000001</v>
      </c>
      <c r="C11" s="158">
        <v>-348910.82</v>
      </c>
      <c r="D11" s="157">
        <f>B11+C11</f>
        <v>20680023.98</v>
      </c>
      <c r="E11" s="158">
        <v>19847388.34</v>
      </c>
      <c r="F11" s="158">
        <v>19847388.34</v>
      </c>
      <c r="G11" s="157">
        <f>D11-E11</f>
        <v>832635.6400000006</v>
      </c>
    </row>
    <row r="12" spans="1:7" s="160" customFormat="1" x14ac:dyDescent="0.25">
      <c r="A12" s="81" t="s">
        <v>288</v>
      </c>
      <c r="B12" s="158">
        <v>704000</v>
      </c>
      <c r="C12" s="158">
        <v>-260042.5</v>
      </c>
      <c r="D12" s="157">
        <f t="shared" ref="D12:D17" si="2">B12+C12</f>
        <v>443957.5</v>
      </c>
      <c r="E12" s="158">
        <v>355995.22</v>
      </c>
      <c r="F12" s="158">
        <v>355995.22</v>
      </c>
      <c r="G12" s="157">
        <f t="shared" ref="G12:G17" si="3">D12-E12</f>
        <v>87962.280000000028</v>
      </c>
    </row>
    <row r="13" spans="1:7" s="160" customFormat="1" x14ac:dyDescent="0.25">
      <c r="A13" s="81" t="s">
        <v>289</v>
      </c>
      <c r="B13" s="158">
        <v>3185006.2</v>
      </c>
      <c r="C13" s="158">
        <v>120571.37</v>
      </c>
      <c r="D13" s="157">
        <f t="shared" si="2"/>
        <v>3305577.5700000003</v>
      </c>
      <c r="E13" s="158">
        <v>3205985.62</v>
      </c>
      <c r="F13" s="158">
        <v>2554936.4300000002</v>
      </c>
      <c r="G13" s="157">
        <f t="shared" si="3"/>
        <v>99591.950000000186</v>
      </c>
    </row>
    <row r="14" spans="1:7" s="160" customFormat="1" x14ac:dyDescent="0.25">
      <c r="A14" s="81" t="s">
        <v>290</v>
      </c>
      <c r="B14" s="158">
        <v>822595.63</v>
      </c>
      <c r="C14" s="158">
        <v>67221.509999999995</v>
      </c>
      <c r="D14" s="157">
        <f t="shared" si="2"/>
        <v>889817.14</v>
      </c>
      <c r="E14" s="158">
        <v>842717.84</v>
      </c>
      <c r="F14" s="158">
        <v>842717.84</v>
      </c>
      <c r="G14" s="157">
        <f t="shared" si="3"/>
        <v>47099.300000000047</v>
      </c>
    </row>
    <row r="15" spans="1:7" s="160" customFormat="1" x14ac:dyDescent="0.25">
      <c r="A15" s="81" t="s">
        <v>291</v>
      </c>
      <c r="B15" s="158">
        <v>1733751.01</v>
      </c>
      <c r="C15" s="158">
        <v>527769.13</v>
      </c>
      <c r="D15" s="157">
        <f t="shared" si="2"/>
        <v>2261520.14</v>
      </c>
      <c r="E15" s="158">
        <v>2052583.65</v>
      </c>
      <c r="F15" s="158">
        <v>424960.67</v>
      </c>
      <c r="G15" s="157">
        <f t="shared" si="3"/>
        <v>208936.49000000022</v>
      </c>
    </row>
    <row r="16" spans="1:7" s="160" customFormat="1" x14ac:dyDescent="0.25">
      <c r="A16" s="81" t="s">
        <v>292</v>
      </c>
      <c r="B16" s="157"/>
      <c r="C16" s="157"/>
      <c r="D16" s="157">
        <f t="shared" si="2"/>
        <v>0</v>
      </c>
      <c r="E16" s="157"/>
      <c r="F16" s="157"/>
      <c r="G16" s="157">
        <f t="shared" si="3"/>
        <v>0</v>
      </c>
    </row>
    <row r="17" spans="1:7" s="160" customFormat="1" x14ac:dyDescent="0.25">
      <c r="A17" s="81" t="s">
        <v>293</v>
      </c>
      <c r="B17" s="157"/>
      <c r="C17" s="157"/>
      <c r="D17" s="157">
        <f t="shared" si="2"/>
        <v>0</v>
      </c>
      <c r="E17" s="157"/>
      <c r="F17" s="157"/>
      <c r="G17" s="157">
        <f t="shared" si="3"/>
        <v>0</v>
      </c>
    </row>
    <row r="18" spans="1:7" s="160" customFormat="1" x14ac:dyDescent="0.25">
      <c r="A18" s="80" t="s">
        <v>294</v>
      </c>
      <c r="B18" s="157">
        <f t="shared" ref="B18:G18" si="4">SUM(B19:B27)</f>
        <v>4305671.5</v>
      </c>
      <c r="C18" s="157">
        <f t="shared" si="4"/>
        <v>2395406.17</v>
      </c>
      <c r="D18" s="157">
        <f t="shared" si="4"/>
        <v>6701077.6700000009</v>
      </c>
      <c r="E18" s="157">
        <f t="shared" si="4"/>
        <v>4619971.8</v>
      </c>
      <c r="F18" s="157">
        <f t="shared" si="4"/>
        <v>4411496.26</v>
      </c>
      <c r="G18" s="157">
        <f t="shared" si="4"/>
        <v>2081105.87</v>
      </c>
    </row>
    <row r="19" spans="1:7" s="160" customFormat="1" x14ac:dyDescent="0.25">
      <c r="A19" s="81" t="s">
        <v>295</v>
      </c>
      <c r="B19" s="158">
        <v>496000</v>
      </c>
      <c r="C19" s="158">
        <v>309721.89</v>
      </c>
      <c r="D19" s="157">
        <f t="shared" ref="D19:D27" si="5">B19+C19</f>
        <v>805721.89</v>
      </c>
      <c r="E19" s="158">
        <v>581592.1</v>
      </c>
      <c r="F19" s="158">
        <v>581592.1</v>
      </c>
      <c r="G19" s="157">
        <f t="shared" ref="G19:G27" si="6">D19-E19</f>
        <v>224129.79000000004</v>
      </c>
    </row>
    <row r="20" spans="1:7" s="160" customFormat="1" x14ac:dyDescent="0.25">
      <c r="A20" s="81" t="s">
        <v>296</v>
      </c>
      <c r="B20" s="158">
        <v>427500</v>
      </c>
      <c r="C20" s="158">
        <v>-90596.17</v>
      </c>
      <c r="D20" s="157">
        <f t="shared" si="5"/>
        <v>336903.83</v>
      </c>
      <c r="E20" s="158">
        <v>187793.91</v>
      </c>
      <c r="F20" s="158">
        <v>187793.91</v>
      </c>
      <c r="G20" s="157">
        <f t="shared" si="6"/>
        <v>149109.92000000001</v>
      </c>
    </row>
    <row r="21" spans="1:7" s="160" customFormat="1" x14ac:dyDescent="0.25">
      <c r="A21" s="81" t="s">
        <v>297</v>
      </c>
      <c r="B21" s="157"/>
      <c r="C21" s="157"/>
      <c r="D21" s="157">
        <f t="shared" si="5"/>
        <v>0</v>
      </c>
      <c r="E21" s="157"/>
      <c r="F21" s="157"/>
      <c r="G21" s="157">
        <f t="shared" si="6"/>
        <v>0</v>
      </c>
    </row>
    <row r="22" spans="1:7" s="160" customFormat="1" x14ac:dyDescent="0.25">
      <c r="A22" s="81" t="s">
        <v>298</v>
      </c>
      <c r="B22" s="158">
        <v>204171.5</v>
      </c>
      <c r="C22" s="158">
        <v>745086.17</v>
      </c>
      <c r="D22" s="157">
        <f t="shared" si="5"/>
        <v>949257.67</v>
      </c>
      <c r="E22" s="158">
        <v>723608.56</v>
      </c>
      <c r="F22" s="158">
        <v>710608.56</v>
      </c>
      <c r="G22" s="157">
        <f t="shared" si="6"/>
        <v>225649.11</v>
      </c>
    </row>
    <row r="23" spans="1:7" s="160" customFormat="1" x14ac:dyDescent="0.25">
      <c r="A23" s="81" t="s">
        <v>299</v>
      </c>
      <c r="B23" s="158">
        <v>140000</v>
      </c>
      <c r="C23" s="158">
        <v>94002.85</v>
      </c>
      <c r="D23" s="157">
        <f t="shared" si="5"/>
        <v>234002.85</v>
      </c>
      <c r="E23" s="158">
        <v>212477.34</v>
      </c>
      <c r="F23" s="158">
        <v>212477.34</v>
      </c>
      <c r="G23" s="157">
        <f t="shared" si="6"/>
        <v>21525.510000000009</v>
      </c>
    </row>
    <row r="24" spans="1:7" s="160" customFormat="1" x14ac:dyDescent="0.25">
      <c r="A24" s="81" t="s">
        <v>300</v>
      </c>
      <c r="B24" s="158">
        <v>2862000</v>
      </c>
      <c r="C24" s="158">
        <v>1197235.96</v>
      </c>
      <c r="D24" s="157">
        <f t="shared" si="5"/>
        <v>4059235.96</v>
      </c>
      <c r="E24" s="158">
        <v>2667791.71</v>
      </c>
      <c r="F24" s="158">
        <v>2472316.17</v>
      </c>
      <c r="G24" s="157">
        <f t="shared" si="6"/>
        <v>1391444.25</v>
      </c>
    </row>
    <row r="25" spans="1:7" s="160" customFormat="1" x14ac:dyDescent="0.25">
      <c r="A25" s="81" t="s">
        <v>301</v>
      </c>
      <c r="B25" s="158">
        <v>127000</v>
      </c>
      <c r="C25" s="158">
        <v>125252.69</v>
      </c>
      <c r="D25" s="157">
        <f t="shared" si="5"/>
        <v>252252.69</v>
      </c>
      <c r="E25" s="158">
        <v>229195.34</v>
      </c>
      <c r="F25" s="158">
        <v>229195.34</v>
      </c>
      <c r="G25" s="157">
        <f t="shared" si="6"/>
        <v>23057.350000000006</v>
      </c>
    </row>
    <row r="26" spans="1:7" s="160" customFormat="1" x14ac:dyDescent="0.25">
      <c r="A26" s="81" t="s">
        <v>302</v>
      </c>
      <c r="B26" s="157"/>
      <c r="C26" s="157"/>
      <c r="D26" s="157">
        <f t="shared" si="5"/>
        <v>0</v>
      </c>
      <c r="E26" s="157"/>
      <c r="F26" s="157"/>
      <c r="G26" s="157">
        <f t="shared" si="6"/>
        <v>0</v>
      </c>
    </row>
    <row r="27" spans="1:7" s="160" customFormat="1" x14ac:dyDescent="0.25">
      <c r="A27" s="81" t="s">
        <v>303</v>
      </c>
      <c r="B27" s="158">
        <v>49000</v>
      </c>
      <c r="C27" s="158">
        <v>14702.78</v>
      </c>
      <c r="D27" s="157">
        <f t="shared" si="5"/>
        <v>63702.78</v>
      </c>
      <c r="E27" s="158">
        <v>17512.84</v>
      </c>
      <c r="F27" s="158">
        <v>17512.84</v>
      </c>
      <c r="G27" s="157">
        <f t="shared" si="6"/>
        <v>46189.94</v>
      </c>
    </row>
    <row r="28" spans="1:7" s="160" customFormat="1" x14ac:dyDescent="0.25">
      <c r="A28" s="80" t="s">
        <v>304</v>
      </c>
      <c r="B28" s="157">
        <f t="shared" ref="B28:G28" si="7">SUM(B29:B37)</f>
        <v>12431857.289999999</v>
      </c>
      <c r="C28" s="157">
        <f t="shared" si="7"/>
        <v>-2431744.3200000003</v>
      </c>
      <c r="D28" s="157">
        <f t="shared" si="7"/>
        <v>10000112.969999999</v>
      </c>
      <c r="E28" s="157">
        <f t="shared" si="7"/>
        <v>5873022.1600000001</v>
      </c>
      <c r="F28" s="157">
        <f t="shared" si="7"/>
        <v>5715478.25</v>
      </c>
      <c r="G28" s="157">
        <f t="shared" si="7"/>
        <v>4127090.8099999996</v>
      </c>
    </row>
    <row r="29" spans="1:7" s="160" customFormat="1" x14ac:dyDescent="0.25">
      <c r="A29" s="81" t="s">
        <v>305</v>
      </c>
      <c r="B29" s="158">
        <v>1831000</v>
      </c>
      <c r="C29" s="158">
        <v>-79886.149999999994</v>
      </c>
      <c r="D29" s="157">
        <f t="shared" ref="D29:D37" si="8">B29+C29</f>
        <v>1751113.85</v>
      </c>
      <c r="E29" s="158">
        <v>1066096.73</v>
      </c>
      <c r="F29" s="158">
        <v>1066096.73</v>
      </c>
      <c r="G29" s="157">
        <f t="shared" ref="G29:G37" si="9">D29-E29</f>
        <v>685017.12000000011</v>
      </c>
    </row>
    <row r="30" spans="1:7" s="160" customFormat="1" x14ac:dyDescent="0.25">
      <c r="A30" s="81" t="s">
        <v>306</v>
      </c>
      <c r="B30" s="158">
        <v>129500</v>
      </c>
      <c r="C30" s="158">
        <v>-18780.8</v>
      </c>
      <c r="D30" s="157">
        <f t="shared" si="8"/>
        <v>110719.2</v>
      </c>
      <c r="E30" s="158">
        <v>46548.78</v>
      </c>
      <c r="F30" s="158">
        <v>46548.78</v>
      </c>
      <c r="G30" s="157">
        <f t="shared" si="9"/>
        <v>64170.42</v>
      </c>
    </row>
    <row r="31" spans="1:7" s="160" customFormat="1" x14ac:dyDescent="0.25">
      <c r="A31" s="81" t="s">
        <v>307</v>
      </c>
      <c r="B31" s="158">
        <v>210000</v>
      </c>
      <c r="C31" s="158">
        <v>77635.81</v>
      </c>
      <c r="D31" s="157">
        <f t="shared" si="8"/>
        <v>287635.81</v>
      </c>
      <c r="E31" s="158">
        <v>221611.29</v>
      </c>
      <c r="F31" s="158">
        <v>221611.29</v>
      </c>
      <c r="G31" s="157">
        <f t="shared" si="9"/>
        <v>66024.51999999999</v>
      </c>
    </row>
    <row r="32" spans="1:7" s="160" customFormat="1" x14ac:dyDescent="0.25">
      <c r="A32" s="81" t="s">
        <v>308</v>
      </c>
      <c r="B32" s="158">
        <v>297000</v>
      </c>
      <c r="C32" s="158">
        <v>126888.2</v>
      </c>
      <c r="D32" s="157">
        <f t="shared" si="8"/>
        <v>423888.2</v>
      </c>
      <c r="E32" s="158">
        <v>368683.91</v>
      </c>
      <c r="F32" s="158">
        <v>368683.91</v>
      </c>
      <c r="G32" s="157">
        <f t="shared" si="9"/>
        <v>55204.290000000037</v>
      </c>
    </row>
    <row r="33" spans="1:7" s="160" customFormat="1" x14ac:dyDescent="0.25">
      <c r="A33" s="81" t="s">
        <v>309</v>
      </c>
      <c r="B33" s="158">
        <v>2576500</v>
      </c>
      <c r="C33" s="158">
        <v>248707.73</v>
      </c>
      <c r="D33" s="157">
        <f t="shared" si="8"/>
        <v>2825207.73</v>
      </c>
      <c r="E33" s="158">
        <v>2128855.63</v>
      </c>
      <c r="F33" s="158">
        <v>2068201.72</v>
      </c>
      <c r="G33" s="157">
        <f t="shared" si="9"/>
        <v>696352.10000000009</v>
      </c>
    </row>
    <row r="34" spans="1:7" s="160" customFormat="1" x14ac:dyDescent="0.25">
      <c r="A34" s="81" t="s">
        <v>310</v>
      </c>
      <c r="B34" s="158">
        <v>170000</v>
      </c>
      <c r="C34" s="158">
        <v>153015.6</v>
      </c>
      <c r="D34" s="157">
        <f t="shared" si="8"/>
        <v>323015.59999999998</v>
      </c>
      <c r="E34" s="158">
        <v>259703.2</v>
      </c>
      <c r="F34" s="158">
        <v>259703.2</v>
      </c>
      <c r="G34" s="157">
        <f t="shared" si="9"/>
        <v>63312.399999999965</v>
      </c>
    </row>
    <row r="35" spans="1:7" s="160" customFormat="1" x14ac:dyDescent="0.25">
      <c r="A35" s="81" t="s">
        <v>311</v>
      </c>
      <c r="B35" s="158">
        <v>392500</v>
      </c>
      <c r="C35" s="158">
        <v>-73346.34</v>
      </c>
      <c r="D35" s="157">
        <f t="shared" si="8"/>
        <v>319153.66000000003</v>
      </c>
      <c r="E35" s="158">
        <v>140943.84</v>
      </c>
      <c r="F35" s="158">
        <v>140943.84</v>
      </c>
      <c r="G35" s="157">
        <f t="shared" si="9"/>
        <v>178209.82000000004</v>
      </c>
    </row>
    <row r="36" spans="1:7" s="160" customFormat="1" x14ac:dyDescent="0.25">
      <c r="A36" s="81" t="s">
        <v>312</v>
      </c>
      <c r="B36" s="158">
        <v>6216000</v>
      </c>
      <c r="C36" s="158">
        <v>-2891318.37</v>
      </c>
      <c r="D36" s="157">
        <f t="shared" si="8"/>
        <v>3324681.63</v>
      </c>
      <c r="E36" s="158">
        <v>1068598.6100000001</v>
      </c>
      <c r="F36" s="158">
        <v>1068598.6100000001</v>
      </c>
      <c r="G36" s="157">
        <f t="shared" si="9"/>
        <v>2256083.0199999996</v>
      </c>
    </row>
    <row r="37" spans="1:7" s="160" customFormat="1" x14ac:dyDescent="0.25">
      <c r="A37" s="81" t="s">
        <v>313</v>
      </c>
      <c r="B37" s="158">
        <v>609357.29</v>
      </c>
      <c r="C37" s="158">
        <v>25340</v>
      </c>
      <c r="D37" s="157">
        <f t="shared" si="8"/>
        <v>634697.29</v>
      </c>
      <c r="E37" s="158">
        <v>571980.17000000004</v>
      </c>
      <c r="F37" s="158">
        <v>475090.17</v>
      </c>
      <c r="G37" s="157">
        <f t="shared" si="9"/>
        <v>62717.119999999995</v>
      </c>
    </row>
    <row r="38" spans="1:7" s="160" customFormat="1" x14ac:dyDescent="0.25">
      <c r="A38" s="80" t="s">
        <v>314</v>
      </c>
      <c r="B38" s="157">
        <f t="shared" ref="B38:G38" si="10">SUM(B39:B47)</f>
        <v>7670000</v>
      </c>
      <c r="C38" s="157">
        <f t="shared" si="10"/>
        <v>1454091.77</v>
      </c>
      <c r="D38" s="157">
        <f t="shared" si="10"/>
        <v>9124091.7699999996</v>
      </c>
      <c r="E38" s="157">
        <f t="shared" si="10"/>
        <v>9098653.1899999995</v>
      </c>
      <c r="F38" s="157">
        <f t="shared" si="10"/>
        <v>8960998.8300000001</v>
      </c>
      <c r="G38" s="157">
        <f t="shared" si="10"/>
        <v>25438.580000000075</v>
      </c>
    </row>
    <row r="39" spans="1:7" s="160" customFormat="1" x14ac:dyDescent="0.25">
      <c r="A39" s="81" t="s">
        <v>315</v>
      </c>
      <c r="B39" s="157"/>
      <c r="C39" s="157"/>
      <c r="D39" s="157">
        <f t="shared" ref="D39:D47" si="11">B39+C39</f>
        <v>0</v>
      </c>
      <c r="E39" s="157"/>
      <c r="F39" s="157"/>
      <c r="G39" s="157">
        <f t="shared" ref="G39:G47" si="12">D39-E39</f>
        <v>0</v>
      </c>
    </row>
    <row r="40" spans="1:7" s="160" customFormat="1" x14ac:dyDescent="0.25">
      <c r="A40" s="81" t="s">
        <v>316</v>
      </c>
      <c r="B40" s="158">
        <v>5340000</v>
      </c>
      <c r="C40" s="158">
        <v>0</v>
      </c>
      <c r="D40" s="157">
        <f t="shared" si="11"/>
        <v>5340000</v>
      </c>
      <c r="E40" s="158">
        <v>5340000</v>
      </c>
      <c r="F40" s="158">
        <v>5340000</v>
      </c>
      <c r="G40" s="157">
        <f t="shared" si="12"/>
        <v>0</v>
      </c>
    </row>
    <row r="41" spans="1:7" s="160" customFormat="1" x14ac:dyDescent="0.25">
      <c r="A41" s="81" t="s">
        <v>317</v>
      </c>
      <c r="B41" s="157"/>
      <c r="C41" s="157"/>
      <c r="D41" s="157">
        <f t="shared" si="11"/>
        <v>0</v>
      </c>
      <c r="E41" s="157"/>
      <c r="F41" s="157"/>
      <c r="G41" s="157">
        <f t="shared" si="12"/>
        <v>0</v>
      </c>
    </row>
    <row r="42" spans="1:7" s="160" customFormat="1" x14ac:dyDescent="0.25">
      <c r="A42" s="81" t="s">
        <v>318</v>
      </c>
      <c r="B42" s="158">
        <v>2330000</v>
      </c>
      <c r="C42" s="158">
        <v>1454091.77</v>
      </c>
      <c r="D42" s="157">
        <f t="shared" si="11"/>
        <v>3784091.77</v>
      </c>
      <c r="E42" s="158">
        <v>3758653.19</v>
      </c>
      <c r="F42" s="158">
        <v>3620998.83</v>
      </c>
      <c r="G42" s="157">
        <f t="shared" si="12"/>
        <v>25438.580000000075</v>
      </c>
    </row>
    <row r="43" spans="1:7" s="160" customFormat="1" x14ac:dyDescent="0.25">
      <c r="A43" s="81" t="s">
        <v>319</v>
      </c>
      <c r="B43" s="157"/>
      <c r="C43" s="157"/>
      <c r="D43" s="157">
        <f t="shared" si="11"/>
        <v>0</v>
      </c>
      <c r="E43" s="157"/>
      <c r="F43" s="157"/>
      <c r="G43" s="157">
        <f t="shared" si="12"/>
        <v>0</v>
      </c>
    </row>
    <row r="44" spans="1:7" s="160" customFormat="1" x14ac:dyDescent="0.25">
      <c r="A44" s="81" t="s">
        <v>320</v>
      </c>
      <c r="B44" s="157"/>
      <c r="C44" s="157"/>
      <c r="D44" s="157">
        <f t="shared" si="11"/>
        <v>0</v>
      </c>
      <c r="E44" s="157"/>
      <c r="F44" s="157"/>
      <c r="G44" s="157">
        <f t="shared" si="12"/>
        <v>0</v>
      </c>
    </row>
    <row r="45" spans="1:7" s="160" customFormat="1" x14ac:dyDescent="0.25">
      <c r="A45" s="81" t="s">
        <v>321</v>
      </c>
      <c r="B45" s="157"/>
      <c r="C45" s="157"/>
      <c r="D45" s="157">
        <f t="shared" si="11"/>
        <v>0</v>
      </c>
      <c r="E45" s="157"/>
      <c r="F45" s="157"/>
      <c r="G45" s="157">
        <f t="shared" si="12"/>
        <v>0</v>
      </c>
    </row>
    <row r="46" spans="1:7" s="160" customFormat="1" x14ac:dyDescent="0.25">
      <c r="A46" s="81" t="s">
        <v>322</v>
      </c>
      <c r="B46" s="157"/>
      <c r="C46" s="157"/>
      <c r="D46" s="157">
        <f t="shared" si="11"/>
        <v>0</v>
      </c>
      <c r="E46" s="157"/>
      <c r="F46" s="157"/>
      <c r="G46" s="157">
        <f t="shared" si="12"/>
        <v>0</v>
      </c>
    </row>
    <row r="47" spans="1:7" s="160" customFormat="1" x14ac:dyDescent="0.25">
      <c r="A47" s="81" t="s">
        <v>323</v>
      </c>
      <c r="B47" s="157"/>
      <c r="C47" s="157"/>
      <c r="D47" s="157">
        <f t="shared" si="11"/>
        <v>0</v>
      </c>
      <c r="E47" s="157"/>
      <c r="F47" s="157"/>
      <c r="G47" s="157">
        <f t="shared" si="12"/>
        <v>0</v>
      </c>
    </row>
    <row r="48" spans="1:7" s="160" customFormat="1" x14ac:dyDescent="0.25">
      <c r="A48" s="80" t="s">
        <v>324</v>
      </c>
      <c r="B48" s="157">
        <f t="shared" ref="B48:G48" si="13">SUM(B49:B57)</f>
        <v>534000</v>
      </c>
      <c r="C48" s="157">
        <f t="shared" si="13"/>
        <v>262205.36</v>
      </c>
      <c r="D48" s="157">
        <f t="shared" si="13"/>
        <v>796205.3600000001</v>
      </c>
      <c r="E48" s="157">
        <f t="shared" si="13"/>
        <v>621403.30000000005</v>
      </c>
      <c r="F48" s="157">
        <f t="shared" si="13"/>
        <v>613083.30000000005</v>
      </c>
      <c r="G48" s="157">
        <f t="shared" si="13"/>
        <v>174802.06000000003</v>
      </c>
    </row>
    <row r="49" spans="1:7" s="160" customFormat="1" x14ac:dyDescent="0.25">
      <c r="A49" s="81" t="s">
        <v>325</v>
      </c>
      <c r="B49" s="158">
        <v>389000</v>
      </c>
      <c r="C49" s="158">
        <v>-85230.1</v>
      </c>
      <c r="D49" s="157">
        <f t="shared" ref="D49:D57" si="14">B49+C49</f>
        <v>303769.90000000002</v>
      </c>
      <c r="E49" s="158">
        <v>184298.44</v>
      </c>
      <c r="F49" s="158">
        <v>175978.44</v>
      </c>
      <c r="G49" s="157">
        <f t="shared" ref="G49:G57" si="15">D49-E49</f>
        <v>119471.46000000002</v>
      </c>
    </row>
    <row r="50" spans="1:7" s="160" customFormat="1" x14ac:dyDescent="0.25">
      <c r="A50" s="81" t="s">
        <v>326</v>
      </c>
      <c r="B50" s="158">
        <v>0</v>
      </c>
      <c r="C50" s="158">
        <v>93993.03</v>
      </c>
      <c r="D50" s="157">
        <f t="shared" si="14"/>
        <v>93993.03</v>
      </c>
      <c r="E50" s="158">
        <v>88997.43</v>
      </c>
      <c r="F50" s="158">
        <v>88997.43</v>
      </c>
      <c r="G50" s="157">
        <f t="shared" si="15"/>
        <v>4995.6000000000058</v>
      </c>
    </row>
    <row r="51" spans="1:7" s="160" customFormat="1" x14ac:dyDescent="0.25">
      <c r="A51" s="81" t="s">
        <v>327</v>
      </c>
      <c r="B51" s="158">
        <v>0</v>
      </c>
      <c r="C51" s="158">
        <v>10114.44</v>
      </c>
      <c r="D51" s="157">
        <f t="shared" si="14"/>
        <v>10114.44</v>
      </c>
      <c r="E51" s="158">
        <v>7114.44</v>
      </c>
      <c r="F51" s="158">
        <v>7114.44</v>
      </c>
      <c r="G51" s="157">
        <f t="shared" si="15"/>
        <v>3000.0000000000009</v>
      </c>
    </row>
    <row r="52" spans="1:7" s="160" customFormat="1" x14ac:dyDescent="0.25">
      <c r="A52" s="81" t="s">
        <v>328</v>
      </c>
      <c r="B52" s="157"/>
      <c r="C52" s="157"/>
      <c r="D52" s="157">
        <f t="shared" si="14"/>
        <v>0</v>
      </c>
      <c r="E52" s="157"/>
      <c r="F52" s="157"/>
      <c r="G52" s="157">
        <f t="shared" si="15"/>
        <v>0</v>
      </c>
    </row>
    <row r="53" spans="1:7" s="160" customFormat="1" x14ac:dyDescent="0.25">
      <c r="A53" s="81" t="s">
        <v>329</v>
      </c>
      <c r="B53" s="157"/>
      <c r="C53" s="157"/>
      <c r="D53" s="157">
        <f t="shared" si="14"/>
        <v>0</v>
      </c>
      <c r="E53" s="157"/>
      <c r="F53" s="157"/>
      <c r="G53" s="157">
        <f t="shared" si="15"/>
        <v>0</v>
      </c>
    </row>
    <row r="54" spans="1:7" s="160" customFormat="1" x14ac:dyDescent="0.25">
      <c r="A54" s="81" t="s">
        <v>330</v>
      </c>
      <c r="B54" s="158">
        <v>125000</v>
      </c>
      <c r="C54" s="158">
        <v>256327.99</v>
      </c>
      <c r="D54" s="157">
        <f t="shared" si="14"/>
        <v>381327.99</v>
      </c>
      <c r="E54" s="158">
        <v>340992.99</v>
      </c>
      <c r="F54" s="158">
        <v>340992.99</v>
      </c>
      <c r="G54" s="157">
        <f t="shared" si="15"/>
        <v>40335</v>
      </c>
    </row>
    <row r="55" spans="1:7" s="160" customFormat="1" x14ac:dyDescent="0.25">
      <c r="A55" s="81" t="s">
        <v>331</v>
      </c>
      <c r="B55" s="157"/>
      <c r="C55" s="157"/>
      <c r="D55" s="157">
        <f t="shared" si="14"/>
        <v>0</v>
      </c>
      <c r="E55" s="157"/>
      <c r="F55" s="157"/>
      <c r="G55" s="157">
        <f t="shared" si="15"/>
        <v>0</v>
      </c>
    </row>
    <row r="56" spans="1:7" s="160" customFormat="1" x14ac:dyDescent="0.25">
      <c r="A56" s="81" t="s">
        <v>332</v>
      </c>
      <c r="B56" s="157"/>
      <c r="C56" s="157"/>
      <c r="D56" s="157">
        <f t="shared" si="14"/>
        <v>0</v>
      </c>
      <c r="E56" s="157"/>
      <c r="F56" s="157"/>
      <c r="G56" s="157">
        <f t="shared" si="15"/>
        <v>0</v>
      </c>
    </row>
    <row r="57" spans="1:7" s="160" customFormat="1" x14ac:dyDescent="0.25">
      <c r="A57" s="81" t="s">
        <v>333</v>
      </c>
      <c r="B57" s="158">
        <v>20000</v>
      </c>
      <c r="C57" s="158">
        <v>-13000</v>
      </c>
      <c r="D57" s="157">
        <f t="shared" si="14"/>
        <v>7000</v>
      </c>
      <c r="E57" s="158">
        <v>0</v>
      </c>
      <c r="F57" s="158">
        <v>0</v>
      </c>
      <c r="G57" s="157">
        <f t="shared" si="15"/>
        <v>7000</v>
      </c>
    </row>
    <row r="58" spans="1:7" s="160" customFormat="1" x14ac:dyDescent="0.25">
      <c r="A58" s="80" t="s">
        <v>334</v>
      </c>
      <c r="B58" s="157">
        <f t="shared" ref="B58:G58" si="16">SUM(B59:B61)</f>
        <v>0</v>
      </c>
      <c r="C58" s="157">
        <f t="shared" si="16"/>
        <v>1796655.11</v>
      </c>
      <c r="D58" s="157">
        <f t="shared" si="16"/>
        <v>1796655.11</v>
      </c>
      <c r="E58" s="157">
        <f t="shared" si="16"/>
        <v>1346877.27</v>
      </c>
      <c r="F58" s="157">
        <f t="shared" si="16"/>
        <v>1346877.27</v>
      </c>
      <c r="G58" s="157">
        <f t="shared" si="16"/>
        <v>449777.84000000008</v>
      </c>
    </row>
    <row r="59" spans="1:7" s="160" customFormat="1" x14ac:dyDescent="0.25">
      <c r="A59" s="81" t="s">
        <v>335</v>
      </c>
      <c r="B59" s="158">
        <v>0</v>
      </c>
      <c r="C59" s="158">
        <v>1546655.11</v>
      </c>
      <c r="D59" s="157">
        <f t="shared" ref="D59:D61" si="17">B59+C59</f>
        <v>1546655.11</v>
      </c>
      <c r="E59" s="158">
        <v>1096877.27</v>
      </c>
      <c r="F59" s="158">
        <v>1096877.27</v>
      </c>
      <c r="G59" s="157">
        <f t="shared" ref="G59:G61" si="18">D59-E59</f>
        <v>449777.84000000008</v>
      </c>
    </row>
    <row r="60" spans="1:7" s="160" customFormat="1" x14ac:dyDescent="0.25">
      <c r="A60" s="81" t="s">
        <v>336</v>
      </c>
      <c r="B60" s="157"/>
      <c r="C60" s="157"/>
      <c r="D60" s="157">
        <f t="shared" si="17"/>
        <v>0</v>
      </c>
      <c r="E60" s="157"/>
      <c r="F60" s="157"/>
      <c r="G60" s="157">
        <f t="shared" si="18"/>
        <v>0</v>
      </c>
    </row>
    <row r="61" spans="1:7" s="160" customFormat="1" x14ac:dyDescent="0.25">
      <c r="A61" s="81" t="s">
        <v>337</v>
      </c>
      <c r="B61" s="158">
        <v>0</v>
      </c>
      <c r="C61" s="158">
        <v>250000</v>
      </c>
      <c r="D61" s="157">
        <f t="shared" si="17"/>
        <v>250000</v>
      </c>
      <c r="E61" s="158">
        <v>250000</v>
      </c>
      <c r="F61" s="158">
        <v>250000</v>
      </c>
      <c r="G61" s="157">
        <f t="shared" si="18"/>
        <v>0</v>
      </c>
    </row>
    <row r="62" spans="1:7" s="160" customFormat="1" x14ac:dyDescent="0.25">
      <c r="A62" s="80" t="s">
        <v>338</v>
      </c>
      <c r="B62" s="157">
        <f t="shared" ref="B62:G62" si="19">SUM(B63:B67,B69:B70)</f>
        <v>24168.66</v>
      </c>
      <c r="C62" s="157">
        <f t="shared" si="19"/>
        <v>701856.54</v>
      </c>
      <c r="D62" s="157">
        <f t="shared" si="19"/>
        <v>726025.20000000007</v>
      </c>
      <c r="E62" s="157">
        <f t="shared" si="19"/>
        <v>0</v>
      </c>
      <c r="F62" s="157">
        <f t="shared" si="19"/>
        <v>0</v>
      </c>
      <c r="G62" s="157">
        <f t="shared" si="19"/>
        <v>726025.20000000007</v>
      </c>
    </row>
    <row r="63" spans="1:7" s="160" customFormat="1" x14ac:dyDescent="0.25">
      <c r="A63" s="81" t="s">
        <v>339</v>
      </c>
      <c r="B63" s="157"/>
      <c r="C63" s="157"/>
      <c r="D63" s="157">
        <f t="shared" ref="D63:D70" si="20">B63+C63</f>
        <v>0</v>
      </c>
      <c r="E63" s="157"/>
      <c r="F63" s="157"/>
      <c r="G63" s="157">
        <f t="shared" ref="G63:G70" si="21">D63-E63</f>
        <v>0</v>
      </c>
    </row>
    <row r="64" spans="1:7" s="160" customFormat="1" x14ac:dyDescent="0.25">
      <c r="A64" s="81" t="s">
        <v>340</v>
      </c>
      <c r="B64" s="157"/>
      <c r="C64" s="157"/>
      <c r="D64" s="157">
        <f t="shared" si="20"/>
        <v>0</v>
      </c>
      <c r="E64" s="157"/>
      <c r="F64" s="157"/>
      <c r="G64" s="157">
        <f t="shared" si="21"/>
        <v>0</v>
      </c>
    </row>
    <row r="65" spans="1:7" s="160" customFormat="1" x14ac:dyDescent="0.25">
      <c r="A65" s="81" t="s">
        <v>341</v>
      </c>
      <c r="B65" s="157"/>
      <c r="C65" s="157"/>
      <c r="D65" s="157">
        <f t="shared" si="20"/>
        <v>0</v>
      </c>
      <c r="E65" s="157"/>
      <c r="F65" s="157"/>
      <c r="G65" s="157">
        <f t="shared" si="21"/>
        <v>0</v>
      </c>
    </row>
    <row r="66" spans="1:7" s="160" customFormat="1" x14ac:dyDescent="0.25">
      <c r="A66" s="81" t="s">
        <v>342</v>
      </c>
      <c r="B66" s="157"/>
      <c r="C66" s="157"/>
      <c r="D66" s="157">
        <f t="shared" si="20"/>
        <v>0</v>
      </c>
      <c r="E66" s="157"/>
      <c r="F66" s="157"/>
      <c r="G66" s="157">
        <f t="shared" si="21"/>
        <v>0</v>
      </c>
    </row>
    <row r="67" spans="1:7" s="160" customFormat="1" x14ac:dyDescent="0.25">
      <c r="A67" s="81" t="s">
        <v>343</v>
      </c>
      <c r="B67" s="157"/>
      <c r="C67" s="157"/>
      <c r="D67" s="157">
        <f t="shared" si="20"/>
        <v>0</v>
      </c>
      <c r="E67" s="157"/>
      <c r="F67" s="157"/>
      <c r="G67" s="157">
        <f t="shared" si="21"/>
        <v>0</v>
      </c>
    </row>
    <row r="68" spans="1:7" s="160" customFormat="1" x14ac:dyDescent="0.25">
      <c r="A68" s="81" t="s">
        <v>3301</v>
      </c>
      <c r="B68" s="157"/>
      <c r="C68" s="157"/>
      <c r="D68" s="157">
        <f t="shared" si="20"/>
        <v>0</v>
      </c>
      <c r="E68" s="157"/>
      <c r="F68" s="157"/>
      <c r="G68" s="157">
        <f t="shared" si="21"/>
        <v>0</v>
      </c>
    </row>
    <row r="69" spans="1:7" s="160" customFormat="1" x14ac:dyDescent="0.25">
      <c r="A69" s="81" t="s">
        <v>345</v>
      </c>
      <c r="B69" s="157"/>
      <c r="C69" s="157"/>
      <c r="D69" s="157">
        <f t="shared" si="20"/>
        <v>0</v>
      </c>
      <c r="E69" s="157"/>
      <c r="F69" s="157"/>
      <c r="G69" s="157">
        <f t="shared" si="21"/>
        <v>0</v>
      </c>
    </row>
    <row r="70" spans="1:7" s="160" customFormat="1" x14ac:dyDescent="0.25">
      <c r="A70" s="81" t="s">
        <v>346</v>
      </c>
      <c r="B70" s="158">
        <v>24168.66</v>
      </c>
      <c r="C70" s="158">
        <v>701856.54</v>
      </c>
      <c r="D70" s="157">
        <f t="shared" si="20"/>
        <v>726025.20000000007</v>
      </c>
      <c r="E70" s="158">
        <v>0</v>
      </c>
      <c r="F70" s="158">
        <v>0</v>
      </c>
      <c r="G70" s="157">
        <f t="shared" si="21"/>
        <v>726025.20000000007</v>
      </c>
    </row>
    <row r="71" spans="1:7" s="160" customFormat="1" x14ac:dyDescent="0.25">
      <c r="A71" s="80" t="s">
        <v>347</v>
      </c>
      <c r="B71" s="157">
        <f t="shared" ref="B71:G71" si="22">SUM(B72:B74)</f>
        <v>0</v>
      </c>
      <c r="C71" s="157">
        <f t="shared" si="22"/>
        <v>550070.97</v>
      </c>
      <c r="D71" s="157">
        <f t="shared" si="22"/>
        <v>550070.97</v>
      </c>
      <c r="E71" s="157">
        <f t="shared" si="22"/>
        <v>550070.97</v>
      </c>
      <c r="F71" s="157">
        <f t="shared" si="22"/>
        <v>550070.97</v>
      </c>
      <c r="G71" s="157">
        <f t="shared" si="22"/>
        <v>0</v>
      </c>
    </row>
    <row r="72" spans="1:7" s="160" customFormat="1" x14ac:dyDescent="0.25">
      <c r="A72" s="81" t="s">
        <v>348</v>
      </c>
      <c r="B72" s="157"/>
      <c r="C72" s="157"/>
      <c r="D72" s="157">
        <f t="shared" ref="D72:D74" si="23">B72+C72</f>
        <v>0</v>
      </c>
      <c r="E72" s="157"/>
      <c r="F72" s="157"/>
      <c r="G72" s="157">
        <f t="shared" ref="G72:G74" si="24">D72-E72</f>
        <v>0</v>
      </c>
    </row>
    <row r="73" spans="1:7" s="160" customFormat="1" x14ac:dyDescent="0.25">
      <c r="A73" s="81" t="s">
        <v>349</v>
      </c>
      <c r="B73" s="157"/>
      <c r="C73" s="157"/>
      <c r="D73" s="157">
        <f t="shared" si="23"/>
        <v>0</v>
      </c>
      <c r="E73" s="157"/>
      <c r="F73" s="157"/>
      <c r="G73" s="157">
        <f t="shared" si="24"/>
        <v>0</v>
      </c>
    </row>
    <row r="74" spans="1:7" s="160" customFormat="1" x14ac:dyDescent="0.25">
      <c r="A74" s="81" t="s">
        <v>350</v>
      </c>
      <c r="B74" s="158">
        <v>0</v>
      </c>
      <c r="C74" s="158">
        <v>550070.97</v>
      </c>
      <c r="D74" s="157">
        <f t="shared" si="23"/>
        <v>550070.97</v>
      </c>
      <c r="E74" s="158">
        <v>550070.97</v>
      </c>
      <c r="F74" s="158">
        <v>550070.97</v>
      </c>
      <c r="G74" s="157">
        <f t="shared" si="24"/>
        <v>0</v>
      </c>
    </row>
    <row r="75" spans="1:7" s="160" customFormat="1" x14ac:dyDescent="0.25">
      <c r="A75" s="80" t="s">
        <v>351</v>
      </c>
      <c r="B75" s="157">
        <f t="shared" ref="B75:G75" si="25">SUM(B76:B82)</f>
        <v>3090502.91</v>
      </c>
      <c r="C75" s="157">
        <f t="shared" si="25"/>
        <v>-24127.91</v>
      </c>
      <c r="D75" s="157">
        <f t="shared" si="25"/>
        <v>3066375</v>
      </c>
      <c r="E75" s="157">
        <f t="shared" si="25"/>
        <v>3066375</v>
      </c>
      <c r="F75" s="157">
        <f t="shared" si="25"/>
        <v>3066375</v>
      </c>
      <c r="G75" s="157">
        <f t="shared" si="25"/>
        <v>0</v>
      </c>
    </row>
    <row r="76" spans="1:7" s="160" customFormat="1" x14ac:dyDescent="0.25">
      <c r="A76" s="81" t="s">
        <v>352</v>
      </c>
      <c r="B76" s="158">
        <v>3000000</v>
      </c>
      <c r="C76" s="158">
        <v>0</v>
      </c>
      <c r="D76" s="157">
        <f t="shared" ref="D76:D82" si="26">B76+C76</f>
        <v>3000000</v>
      </c>
      <c r="E76" s="158">
        <v>3000000</v>
      </c>
      <c r="F76" s="158">
        <v>3000000</v>
      </c>
      <c r="G76" s="157">
        <f>D76-E76</f>
        <v>0</v>
      </c>
    </row>
    <row r="77" spans="1:7" s="160" customFormat="1" x14ac:dyDescent="0.25">
      <c r="A77" s="81" t="s">
        <v>353</v>
      </c>
      <c r="B77" s="158">
        <v>90502.91</v>
      </c>
      <c r="C77" s="158">
        <v>-24127.91</v>
      </c>
      <c r="D77" s="157">
        <f t="shared" si="26"/>
        <v>66375</v>
      </c>
      <c r="E77" s="158">
        <v>66375</v>
      </c>
      <c r="F77" s="158">
        <v>66375</v>
      </c>
      <c r="G77" s="157">
        <f t="shared" ref="G77:G82" si="27">D77-E77</f>
        <v>0</v>
      </c>
    </row>
    <row r="78" spans="1:7" s="160" customFormat="1" x14ac:dyDescent="0.25">
      <c r="A78" s="81" t="s">
        <v>354</v>
      </c>
      <c r="B78" s="157"/>
      <c r="C78" s="157"/>
      <c r="D78" s="157">
        <f t="shared" si="26"/>
        <v>0</v>
      </c>
      <c r="E78" s="157"/>
      <c r="F78" s="157"/>
      <c r="G78" s="157">
        <f t="shared" si="27"/>
        <v>0</v>
      </c>
    </row>
    <row r="79" spans="1:7" s="160" customFormat="1" x14ac:dyDescent="0.25">
      <c r="A79" s="81" t="s">
        <v>355</v>
      </c>
      <c r="B79" s="157"/>
      <c r="C79" s="157"/>
      <c r="D79" s="157">
        <f t="shared" si="26"/>
        <v>0</v>
      </c>
      <c r="E79" s="157"/>
      <c r="F79" s="157"/>
      <c r="G79" s="157">
        <f t="shared" si="27"/>
        <v>0</v>
      </c>
    </row>
    <row r="80" spans="1:7" s="160" customFormat="1" x14ac:dyDescent="0.25">
      <c r="A80" s="81" t="s">
        <v>356</v>
      </c>
      <c r="B80" s="157"/>
      <c r="C80" s="157"/>
      <c r="D80" s="157">
        <f t="shared" si="26"/>
        <v>0</v>
      </c>
      <c r="E80" s="157"/>
      <c r="F80" s="157"/>
      <c r="G80" s="157">
        <f t="shared" si="27"/>
        <v>0</v>
      </c>
    </row>
    <row r="81" spans="1:7" s="160" customFormat="1" x14ac:dyDescent="0.25">
      <c r="A81" s="81" t="s">
        <v>357</v>
      </c>
      <c r="B81" s="157"/>
      <c r="C81" s="157"/>
      <c r="D81" s="157">
        <f t="shared" si="26"/>
        <v>0</v>
      </c>
      <c r="E81" s="157"/>
      <c r="F81" s="157"/>
      <c r="G81" s="157">
        <f t="shared" si="27"/>
        <v>0</v>
      </c>
    </row>
    <row r="82" spans="1:7" s="160" customFormat="1" x14ac:dyDescent="0.25">
      <c r="A82" s="81" t="s">
        <v>358</v>
      </c>
      <c r="B82" s="157"/>
      <c r="C82" s="157"/>
      <c r="D82" s="157">
        <f t="shared" si="26"/>
        <v>0</v>
      </c>
      <c r="E82" s="157"/>
      <c r="F82" s="157"/>
      <c r="G82" s="157">
        <f t="shared" si="27"/>
        <v>0</v>
      </c>
    </row>
    <row r="83" spans="1:7" s="160" customFormat="1" x14ac:dyDescent="0.25">
      <c r="A83" s="82"/>
      <c r="B83" s="161"/>
      <c r="C83" s="161"/>
      <c r="D83" s="161"/>
      <c r="E83" s="161"/>
      <c r="F83" s="161"/>
      <c r="G83" s="161"/>
    </row>
    <row r="84" spans="1:7" s="160" customFormat="1" x14ac:dyDescent="0.25">
      <c r="A84" s="83" t="s">
        <v>359</v>
      </c>
      <c r="B84" s="159">
        <f t="shared" ref="B84:G84" si="28">SUM(B85,B93,B103,B113,B123,B133,B137,B146,B150)</f>
        <v>38600000</v>
      </c>
      <c r="C84" s="159">
        <f t="shared" si="28"/>
        <v>35423762.109999999</v>
      </c>
      <c r="D84" s="159">
        <f t="shared" si="28"/>
        <v>74023762.110000014</v>
      </c>
      <c r="E84" s="159">
        <f t="shared" si="28"/>
        <v>67830825.030000001</v>
      </c>
      <c r="F84" s="159">
        <f t="shared" si="28"/>
        <v>66498719.950000003</v>
      </c>
      <c r="G84" s="159">
        <f t="shared" si="28"/>
        <v>6192937.0800000019</v>
      </c>
    </row>
    <row r="85" spans="1:7" s="160" customFormat="1" x14ac:dyDescent="0.25">
      <c r="A85" s="80" t="s">
        <v>286</v>
      </c>
      <c r="B85" s="157">
        <f t="shared" ref="B85:G85" si="29">SUM(B86:B92)</f>
        <v>6755802.1599999992</v>
      </c>
      <c r="C85" s="157">
        <f t="shared" si="29"/>
        <v>-755335.66999999993</v>
      </c>
      <c r="D85" s="157">
        <f t="shared" si="29"/>
        <v>6000466.4900000002</v>
      </c>
      <c r="E85" s="157">
        <f t="shared" si="29"/>
        <v>6000466.4900000002</v>
      </c>
      <c r="F85" s="157">
        <f t="shared" si="29"/>
        <v>6000466.4900000002</v>
      </c>
      <c r="G85" s="157">
        <f t="shared" si="29"/>
        <v>0</v>
      </c>
    </row>
    <row r="86" spans="1:7" s="160" customFormat="1" x14ac:dyDescent="0.25">
      <c r="A86" s="81" t="s">
        <v>287</v>
      </c>
      <c r="B86" s="158">
        <v>5362842.8</v>
      </c>
      <c r="C86" s="158">
        <v>-71357.58</v>
      </c>
      <c r="D86" s="157">
        <f t="shared" ref="D86:D92" si="30">B86+C86</f>
        <v>5291485.22</v>
      </c>
      <c r="E86" s="158">
        <v>5291485.22</v>
      </c>
      <c r="F86" s="158">
        <v>5291485.22</v>
      </c>
      <c r="G86" s="157">
        <f t="shared" ref="G86:G92" si="31">D86-E86</f>
        <v>0</v>
      </c>
    </row>
    <row r="87" spans="1:7" s="160" customFormat="1" x14ac:dyDescent="0.25">
      <c r="A87" s="81" t="s">
        <v>288</v>
      </c>
      <c r="B87" s="157"/>
      <c r="C87" s="157"/>
      <c r="D87" s="157">
        <f t="shared" si="30"/>
        <v>0</v>
      </c>
      <c r="E87" s="157"/>
      <c r="F87" s="157"/>
      <c r="G87" s="157">
        <f t="shared" si="31"/>
        <v>0</v>
      </c>
    </row>
    <row r="88" spans="1:7" s="160" customFormat="1" x14ac:dyDescent="0.25">
      <c r="A88" s="81" t="s">
        <v>289</v>
      </c>
      <c r="B88" s="158">
        <v>952177.76</v>
      </c>
      <c r="C88" s="158">
        <v>-275324.99</v>
      </c>
      <c r="D88" s="157">
        <f t="shared" si="30"/>
        <v>676852.77</v>
      </c>
      <c r="E88" s="158">
        <v>676852.77</v>
      </c>
      <c r="F88" s="158">
        <v>676852.77</v>
      </c>
      <c r="G88" s="157">
        <f t="shared" si="31"/>
        <v>0</v>
      </c>
    </row>
    <row r="89" spans="1:7" s="160" customFormat="1" x14ac:dyDescent="0.25">
      <c r="A89" s="81" t="s">
        <v>290</v>
      </c>
      <c r="B89" s="157"/>
      <c r="C89" s="157"/>
      <c r="D89" s="157">
        <f t="shared" si="30"/>
        <v>0</v>
      </c>
      <c r="E89" s="157"/>
      <c r="F89" s="157"/>
      <c r="G89" s="157">
        <f t="shared" si="31"/>
        <v>0</v>
      </c>
    </row>
    <row r="90" spans="1:7" s="160" customFormat="1" x14ac:dyDescent="0.25">
      <c r="A90" s="81" t="s">
        <v>291</v>
      </c>
      <c r="B90" s="158">
        <v>440781.6</v>
      </c>
      <c r="C90" s="158">
        <v>-408653.1</v>
      </c>
      <c r="D90" s="157">
        <f t="shared" si="30"/>
        <v>32128.5</v>
      </c>
      <c r="E90" s="158">
        <v>32128.5</v>
      </c>
      <c r="F90" s="158">
        <v>32128.5</v>
      </c>
      <c r="G90" s="157">
        <f t="shared" si="31"/>
        <v>0</v>
      </c>
    </row>
    <row r="91" spans="1:7" s="160" customFormat="1" x14ac:dyDescent="0.25">
      <c r="A91" s="81" t="s">
        <v>292</v>
      </c>
      <c r="B91" s="157"/>
      <c r="C91" s="157"/>
      <c r="D91" s="157">
        <f t="shared" si="30"/>
        <v>0</v>
      </c>
      <c r="E91" s="157"/>
      <c r="F91" s="157"/>
      <c r="G91" s="157">
        <f t="shared" si="31"/>
        <v>0</v>
      </c>
    </row>
    <row r="92" spans="1:7" s="160" customFormat="1" x14ac:dyDescent="0.25">
      <c r="A92" s="81" t="s">
        <v>293</v>
      </c>
      <c r="B92" s="157"/>
      <c r="C92" s="157"/>
      <c r="D92" s="157">
        <f t="shared" si="30"/>
        <v>0</v>
      </c>
      <c r="E92" s="157"/>
      <c r="F92" s="157"/>
      <c r="G92" s="157">
        <f t="shared" si="31"/>
        <v>0</v>
      </c>
    </row>
    <row r="93" spans="1:7" s="160" customFormat="1" x14ac:dyDescent="0.25">
      <c r="A93" s="80" t="s">
        <v>294</v>
      </c>
      <c r="B93" s="157">
        <f t="shared" ref="B93:G93" si="32">SUM(B94:B102)</f>
        <v>1143197.8400000001</v>
      </c>
      <c r="C93" s="157">
        <f t="shared" si="32"/>
        <v>158719.48000000001</v>
      </c>
      <c r="D93" s="157">
        <f t="shared" si="32"/>
        <v>1301917.32</v>
      </c>
      <c r="E93" s="157">
        <f t="shared" si="32"/>
        <v>1301917.32</v>
      </c>
      <c r="F93" s="157">
        <f t="shared" si="32"/>
        <v>1197302.82</v>
      </c>
      <c r="G93" s="157">
        <f t="shared" si="32"/>
        <v>9.0949470177292824E-12</v>
      </c>
    </row>
    <row r="94" spans="1:7" s="160" customFormat="1" x14ac:dyDescent="0.25">
      <c r="A94" s="81" t="s">
        <v>295</v>
      </c>
      <c r="B94" s="157"/>
      <c r="C94" s="157"/>
      <c r="D94" s="157">
        <f t="shared" ref="D94:D102" si="33">B94+C94</f>
        <v>0</v>
      </c>
      <c r="E94" s="157"/>
      <c r="F94" s="157"/>
      <c r="G94" s="157">
        <f t="shared" ref="G94:G102" si="34">D94-E94</f>
        <v>0</v>
      </c>
    </row>
    <row r="95" spans="1:7" s="160" customFormat="1" x14ac:dyDescent="0.25">
      <c r="A95" s="81" t="s">
        <v>296</v>
      </c>
      <c r="B95" s="157"/>
      <c r="C95" s="157"/>
      <c r="D95" s="157">
        <f t="shared" si="33"/>
        <v>0</v>
      </c>
      <c r="E95" s="157"/>
      <c r="F95" s="157"/>
      <c r="G95" s="157">
        <f t="shared" si="34"/>
        <v>0</v>
      </c>
    </row>
    <row r="96" spans="1:7" s="160" customFormat="1" x14ac:dyDescent="0.25">
      <c r="A96" s="81" t="s">
        <v>297</v>
      </c>
      <c r="B96" s="157"/>
      <c r="C96" s="157"/>
      <c r="D96" s="157">
        <f t="shared" si="33"/>
        <v>0</v>
      </c>
      <c r="E96" s="157"/>
      <c r="F96" s="157"/>
      <c r="G96" s="157">
        <f t="shared" si="34"/>
        <v>0</v>
      </c>
    </row>
    <row r="97" spans="1:7" s="160" customFormat="1" x14ac:dyDescent="0.25">
      <c r="A97" s="81" t="s">
        <v>298</v>
      </c>
      <c r="B97" s="158">
        <v>143197.84</v>
      </c>
      <c r="C97" s="158">
        <v>-136024.82999999999</v>
      </c>
      <c r="D97" s="157">
        <f t="shared" si="33"/>
        <v>7173.0100000000093</v>
      </c>
      <c r="E97" s="158">
        <v>7173.01</v>
      </c>
      <c r="F97" s="158">
        <v>7173.01</v>
      </c>
      <c r="G97" s="157">
        <f t="shared" si="34"/>
        <v>9.0949470177292824E-12</v>
      </c>
    </row>
    <row r="98" spans="1:7" s="160" customFormat="1" x14ac:dyDescent="0.25">
      <c r="A98" s="42" t="s">
        <v>299</v>
      </c>
      <c r="B98" s="157"/>
      <c r="C98" s="157"/>
      <c r="D98" s="157">
        <f t="shared" si="33"/>
        <v>0</v>
      </c>
      <c r="E98" s="157"/>
      <c r="F98" s="157"/>
      <c r="G98" s="157">
        <f t="shared" si="34"/>
        <v>0</v>
      </c>
    </row>
    <row r="99" spans="1:7" s="160" customFormat="1" x14ac:dyDescent="0.25">
      <c r="A99" s="81" t="s">
        <v>300</v>
      </c>
      <c r="B99" s="158">
        <v>1000000</v>
      </c>
      <c r="C99" s="158">
        <v>294744.31</v>
      </c>
      <c r="D99" s="157">
        <f t="shared" si="33"/>
        <v>1294744.31</v>
      </c>
      <c r="E99" s="158">
        <v>1294744.31</v>
      </c>
      <c r="F99" s="158">
        <v>1190129.81</v>
      </c>
      <c r="G99" s="157">
        <f t="shared" si="34"/>
        <v>0</v>
      </c>
    </row>
    <row r="100" spans="1:7" s="160" customFormat="1" x14ac:dyDescent="0.25">
      <c r="A100" s="81" t="s">
        <v>301</v>
      </c>
      <c r="B100" s="157"/>
      <c r="C100" s="157"/>
      <c r="D100" s="157">
        <f t="shared" si="33"/>
        <v>0</v>
      </c>
      <c r="E100" s="157"/>
      <c r="F100" s="157"/>
      <c r="G100" s="157">
        <f t="shared" si="34"/>
        <v>0</v>
      </c>
    </row>
    <row r="101" spans="1:7" s="160" customFormat="1" x14ac:dyDescent="0.25">
      <c r="A101" s="81" t="s">
        <v>302</v>
      </c>
      <c r="B101" s="157"/>
      <c r="C101" s="157"/>
      <c r="D101" s="157">
        <f t="shared" si="33"/>
        <v>0</v>
      </c>
      <c r="E101" s="157"/>
      <c r="F101" s="157"/>
      <c r="G101" s="157">
        <f t="shared" si="34"/>
        <v>0</v>
      </c>
    </row>
    <row r="102" spans="1:7" s="160" customFormat="1" x14ac:dyDescent="0.25">
      <c r="A102" s="81" t="s">
        <v>303</v>
      </c>
      <c r="B102" s="157"/>
      <c r="C102" s="157"/>
      <c r="D102" s="157">
        <f t="shared" si="33"/>
        <v>0</v>
      </c>
      <c r="E102" s="157"/>
      <c r="F102" s="157"/>
      <c r="G102" s="157">
        <f t="shared" si="34"/>
        <v>0</v>
      </c>
    </row>
    <row r="103" spans="1:7" s="160" customFormat="1" x14ac:dyDescent="0.25">
      <c r="A103" s="80" t="s">
        <v>304</v>
      </c>
      <c r="B103" s="157">
        <f t="shared" ref="B103:G103" si="35">SUM(B104:B112)</f>
        <v>400000</v>
      </c>
      <c r="C103" s="157">
        <f t="shared" si="35"/>
        <v>1033313.5</v>
      </c>
      <c r="D103" s="157">
        <f t="shared" si="35"/>
        <v>1433313.5</v>
      </c>
      <c r="E103" s="157">
        <f t="shared" si="35"/>
        <v>1433313.5</v>
      </c>
      <c r="F103" s="157">
        <f t="shared" si="35"/>
        <v>1433313.5</v>
      </c>
      <c r="G103" s="157">
        <f t="shared" si="35"/>
        <v>0</v>
      </c>
    </row>
    <row r="104" spans="1:7" s="160" customFormat="1" x14ac:dyDescent="0.25">
      <c r="A104" s="81" t="s">
        <v>305</v>
      </c>
      <c r="B104" s="158">
        <v>0</v>
      </c>
      <c r="C104" s="158">
        <v>1176300.24</v>
      </c>
      <c r="D104" s="157">
        <f t="shared" ref="D104:D112" si="36">B104+C104</f>
        <v>1176300.24</v>
      </c>
      <c r="E104" s="158">
        <v>1176300.24</v>
      </c>
      <c r="F104" s="158">
        <v>1176300.24</v>
      </c>
      <c r="G104" s="157">
        <f t="shared" ref="G104:G112" si="37">D104-E104</f>
        <v>0</v>
      </c>
    </row>
    <row r="105" spans="1:7" s="160" customFormat="1" x14ac:dyDescent="0.25">
      <c r="A105" s="81" t="s">
        <v>306</v>
      </c>
      <c r="B105" s="157"/>
      <c r="C105" s="157"/>
      <c r="D105" s="157">
        <f t="shared" si="36"/>
        <v>0</v>
      </c>
      <c r="E105" s="157"/>
      <c r="F105" s="157"/>
      <c r="G105" s="157">
        <f t="shared" si="37"/>
        <v>0</v>
      </c>
    </row>
    <row r="106" spans="1:7" s="160" customFormat="1" x14ac:dyDescent="0.25">
      <c r="A106" s="81" t="s">
        <v>307</v>
      </c>
      <c r="B106" s="157"/>
      <c r="C106" s="157"/>
      <c r="D106" s="157">
        <f t="shared" si="36"/>
        <v>0</v>
      </c>
      <c r="E106" s="157"/>
      <c r="F106" s="157"/>
      <c r="G106" s="157">
        <f t="shared" si="37"/>
        <v>0</v>
      </c>
    </row>
    <row r="107" spans="1:7" s="160" customFormat="1" x14ac:dyDescent="0.25">
      <c r="A107" s="81" t="s">
        <v>308</v>
      </c>
      <c r="B107" s="157"/>
      <c r="C107" s="157"/>
      <c r="D107" s="157">
        <f t="shared" si="36"/>
        <v>0</v>
      </c>
      <c r="E107" s="157"/>
      <c r="F107" s="157"/>
      <c r="G107" s="157">
        <f t="shared" si="37"/>
        <v>0</v>
      </c>
    </row>
    <row r="108" spans="1:7" s="160" customFormat="1" x14ac:dyDescent="0.25">
      <c r="A108" s="81" t="s">
        <v>309</v>
      </c>
      <c r="B108" s="158">
        <v>400000</v>
      </c>
      <c r="C108" s="158">
        <v>-142986.74</v>
      </c>
      <c r="D108" s="157">
        <f t="shared" si="36"/>
        <v>257013.26</v>
      </c>
      <c r="E108" s="158">
        <v>257013.26</v>
      </c>
      <c r="F108" s="158">
        <v>257013.26</v>
      </c>
      <c r="G108" s="157">
        <f t="shared" si="37"/>
        <v>0</v>
      </c>
    </row>
    <row r="109" spans="1:7" s="160" customFormat="1" x14ac:dyDescent="0.25">
      <c r="A109" s="81" t="s">
        <v>310</v>
      </c>
      <c r="B109" s="157"/>
      <c r="C109" s="157"/>
      <c r="D109" s="157">
        <f t="shared" si="36"/>
        <v>0</v>
      </c>
      <c r="E109" s="157"/>
      <c r="F109" s="157"/>
      <c r="G109" s="157">
        <f t="shared" si="37"/>
        <v>0</v>
      </c>
    </row>
    <row r="110" spans="1:7" s="160" customFormat="1" x14ac:dyDescent="0.25">
      <c r="A110" s="81" t="s">
        <v>311</v>
      </c>
      <c r="B110" s="157"/>
      <c r="C110" s="157"/>
      <c r="D110" s="157">
        <f t="shared" si="36"/>
        <v>0</v>
      </c>
      <c r="E110" s="157"/>
      <c r="F110" s="157"/>
      <c r="G110" s="157">
        <f t="shared" si="37"/>
        <v>0</v>
      </c>
    </row>
    <row r="111" spans="1:7" s="160" customFormat="1" x14ac:dyDescent="0.25">
      <c r="A111" s="81" t="s">
        <v>312</v>
      </c>
      <c r="B111" s="157"/>
      <c r="C111" s="157"/>
      <c r="D111" s="157">
        <f t="shared" si="36"/>
        <v>0</v>
      </c>
      <c r="E111" s="157"/>
      <c r="F111" s="157"/>
      <c r="G111" s="157">
        <f t="shared" si="37"/>
        <v>0</v>
      </c>
    </row>
    <row r="112" spans="1:7" s="160" customFormat="1" x14ac:dyDescent="0.25">
      <c r="A112" s="81" t="s">
        <v>313</v>
      </c>
      <c r="B112" s="157"/>
      <c r="C112" s="157"/>
      <c r="D112" s="157">
        <f t="shared" si="36"/>
        <v>0</v>
      </c>
      <c r="E112" s="157"/>
      <c r="F112" s="157"/>
      <c r="G112" s="157">
        <f t="shared" si="37"/>
        <v>0</v>
      </c>
    </row>
    <row r="113" spans="1:7" s="160" customFormat="1" x14ac:dyDescent="0.25">
      <c r="A113" s="80" t="s">
        <v>314</v>
      </c>
      <c r="B113" s="157">
        <f t="shared" ref="B113:G113" si="38">SUM(B114:B122)</f>
        <v>4800000</v>
      </c>
      <c r="C113" s="157">
        <f t="shared" si="38"/>
        <v>22913475.420000002</v>
      </c>
      <c r="D113" s="157">
        <f t="shared" si="38"/>
        <v>27713475.420000002</v>
      </c>
      <c r="E113" s="157">
        <f t="shared" si="38"/>
        <v>25847157.560000002</v>
      </c>
      <c r="F113" s="157">
        <f t="shared" si="38"/>
        <v>24769794.770000003</v>
      </c>
      <c r="G113" s="157">
        <f t="shared" si="38"/>
        <v>1866317.8599999994</v>
      </c>
    </row>
    <row r="114" spans="1:7" s="160" customFormat="1" x14ac:dyDescent="0.25">
      <c r="A114" s="81" t="s">
        <v>315</v>
      </c>
      <c r="B114" s="157"/>
      <c r="C114" s="157"/>
      <c r="D114" s="157">
        <f t="shared" ref="D114:D122" si="39">B114+C114</f>
        <v>0</v>
      </c>
      <c r="E114" s="157"/>
      <c r="F114" s="157"/>
      <c r="G114" s="157">
        <f t="shared" ref="G114:G122" si="40">D114-E114</f>
        <v>0</v>
      </c>
    </row>
    <row r="115" spans="1:7" s="160" customFormat="1" x14ac:dyDescent="0.25">
      <c r="A115" s="81" t="s">
        <v>316</v>
      </c>
      <c r="B115" s="157"/>
      <c r="C115" s="157"/>
      <c r="D115" s="157">
        <f t="shared" si="39"/>
        <v>0</v>
      </c>
      <c r="E115" s="157"/>
      <c r="F115" s="157"/>
      <c r="G115" s="157">
        <f t="shared" si="40"/>
        <v>0</v>
      </c>
    </row>
    <row r="116" spans="1:7" s="160" customFormat="1" x14ac:dyDescent="0.25">
      <c r="A116" s="81" t="s">
        <v>317</v>
      </c>
      <c r="B116" s="158">
        <v>4800000</v>
      </c>
      <c r="C116" s="158">
        <v>-338166.31</v>
      </c>
      <c r="D116" s="157">
        <f t="shared" si="39"/>
        <v>4461833.6900000004</v>
      </c>
      <c r="E116" s="158">
        <v>4461833.6900000004</v>
      </c>
      <c r="F116" s="158">
        <v>4203633.1500000004</v>
      </c>
      <c r="G116" s="157">
        <f t="shared" si="40"/>
        <v>0</v>
      </c>
    </row>
    <row r="117" spans="1:7" s="160" customFormat="1" x14ac:dyDescent="0.25">
      <c r="A117" s="81" t="s">
        <v>318</v>
      </c>
      <c r="B117" s="158">
        <v>0</v>
      </c>
      <c r="C117" s="158">
        <v>23251641.73</v>
      </c>
      <c r="D117" s="157">
        <f t="shared" si="39"/>
        <v>23251641.73</v>
      </c>
      <c r="E117" s="158">
        <v>21385323.870000001</v>
      </c>
      <c r="F117" s="158">
        <v>20566161.620000001</v>
      </c>
      <c r="G117" s="157">
        <f t="shared" si="40"/>
        <v>1866317.8599999994</v>
      </c>
    </row>
    <row r="118" spans="1:7" s="160" customFormat="1" x14ac:dyDescent="0.25">
      <c r="A118" s="81" t="s">
        <v>319</v>
      </c>
      <c r="B118" s="157"/>
      <c r="C118" s="157"/>
      <c r="D118" s="157">
        <f t="shared" si="39"/>
        <v>0</v>
      </c>
      <c r="E118" s="157"/>
      <c r="F118" s="157"/>
      <c r="G118" s="157">
        <f t="shared" si="40"/>
        <v>0</v>
      </c>
    </row>
    <row r="119" spans="1:7" s="160" customFormat="1" x14ac:dyDescent="0.25">
      <c r="A119" s="81" t="s">
        <v>320</v>
      </c>
      <c r="B119" s="157"/>
      <c r="C119" s="157"/>
      <c r="D119" s="157">
        <f t="shared" si="39"/>
        <v>0</v>
      </c>
      <c r="E119" s="157"/>
      <c r="F119" s="157"/>
      <c r="G119" s="157">
        <f t="shared" si="40"/>
        <v>0</v>
      </c>
    </row>
    <row r="120" spans="1:7" s="160" customFormat="1" x14ac:dyDescent="0.25">
      <c r="A120" s="81" t="s">
        <v>321</v>
      </c>
      <c r="B120" s="157"/>
      <c r="C120" s="157"/>
      <c r="D120" s="157">
        <f t="shared" si="39"/>
        <v>0</v>
      </c>
      <c r="E120" s="157"/>
      <c r="F120" s="157"/>
      <c r="G120" s="157">
        <f t="shared" si="40"/>
        <v>0</v>
      </c>
    </row>
    <row r="121" spans="1:7" s="160" customFormat="1" x14ac:dyDescent="0.25">
      <c r="A121" s="81" t="s">
        <v>322</v>
      </c>
      <c r="B121" s="157"/>
      <c r="C121" s="157"/>
      <c r="D121" s="157">
        <f t="shared" si="39"/>
        <v>0</v>
      </c>
      <c r="E121" s="157"/>
      <c r="F121" s="157"/>
      <c r="G121" s="157">
        <f t="shared" si="40"/>
        <v>0</v>
      </c>
    </row>
    <row r="122" spans="1:7" s="160" customFormat="1" x14ac:dyDescent="0.25">
      <c r="A122" s="81" t="s">
        <v>323</v>
      </c>
      <c r="B122" s="157"/>
      <c r="C122" s="157"/>
      <c r="D122" s="157">
        <f t="shared" si="39"/>
        <v>0</v>
      </c>
      <c r="E122" s="157"/>
      <c r="F122" s="157"/>
      <c r="G122" s="157">
        <f t="shared" si="40"/>
        <v>0</v>
      </c>
    </row>
    <row r="123" spans="1:7" s="160" customFormat="1" x14ac:dyDescent="0.25">
      <c r="A123" s="80" t="s">
        <v>324</v>
      </c>
      <c r="B123" s="157">
        <f t="shared" ref="B123:G123" si="41">SUM(B124:B132)</f>
        <v>0</v>
      </c>
      <c r="C123" s="157">
        <f t="shared" si="41"/>
        <v>0</v>
      </c>
      <c r="D123" s="157">
        <f t="shared" si="41"/>
        <v>0</v>
      </c>
      <c r="E123" s="157">
        <f t="shared" si="41"/>
        <v>0</v>
      </c>
      <c r="F123" s="157">
        <f t="shared" si="41"/>
        <v>0</v>
      </c>
      <c r="G123" s="157">
        <f t="shared" si="41"/>
        <v>0</v>
      </c>
    </row>
    <row r="124" spans="1:7" s="160" customFormat="1" x14ac:dyDescent="0.25">
      <c r="A124" s="81" t="s">
        <v>325</v>
      </c>
      <c r="B124" s="157"/>
      <c r="C124" s="157"/>
      <c r="D124" s="157">
        <f t="shared" ref="D124:D132" si="42">B124+C124</f>
        <v>0</v>
      </c>
      <c r="E124" s="157"/>
      <c r="F124" s="157"/>
      <c r="G124" s="157">
        <f t="shared" ref="G124:G132" si="43">D124-E124</f>
        <v>0</v>
      </c>
    </row>
    <row r="125" spans="1:7" s="160" customFormat="1" x14ac:dyDescent="0.25">
      <c r="A125" s="81" t="s">
        <v>326</v>
      </c>
      <c r="B125" s="157"/>
      <c r="C125" s="157"/>
      <c r="D125" s="157">
        <f t="shared" si="42"/>
        <v>0</v>
      </c>
      <c r="E125" s="157"/>
      <c r="F125" s="157"/>
      <c r="G125" s="157">
        <f t="shared" si="43"/>
        <v>0</v>
      </c>
    </row>
    <row r="126" spans="1:7" s="160" customFormat="1" x14ac:dyDescent="0.25">
      <c r="A126" s="81" t="s">
        <v>327</v>
      </c>
      <c r="B126" s="157"/>
      <c r="C126" s="157"/>
      <c r="D126" s="157">
        <f t="shared" si="42"/>
        <v>0</v>
      </c>
      <c r="E126" s="157"/>
      <c r="F126" s="157"/>
      <c r="G126" s="157">
        <f t="shared" si="43"/>
        <v>0</v>
      </c>
    </row>
    <row r="127" spans="1:7" s="160" customFormat="1" x14ac:dyDescent="0.25">
      <c r="A127" s="81" t="s">
        <v>328</v>
      </c>
      <c r="B127" s="157"/>
      <c r="C127" s="157"/>
      <c r="D127" s="157">
        <f t="shared" si="42"/>
        <v>0</v>
      </c>
      <c r="E127" s="157"/>
      <c r="F127" s="157"/>
      <c r="G127" s="157">
        <f t="shared" si="43"/>
        <v>0</v>
      </c>
    </row>
    <row r="128" spans="1:7" s="160" customFormat="1" x14ac:dyDescent="0.25">
      <c r="A128" s="81" t="s">
        <v>329</v>
      </c>
      <c r="B128" s="157"/>
      <c r="C128" s="157"/>
      <c r="D128" s="157">
        <f t="shared" si="42"/>
        <v>0</v>
      </c>
      <c r="E128" s="157"/>
      <c r="F128" s="157"/>
      <c r="G128" s="157">
        <f t="shared" si="43"/>
        <v>0</v>
      </c>
    </row>
    <row r="129" spans="1:7" s="160" customFormat="1" x14ac:dyDescent="0.25">
      <c r="A129" s="81" t="s">
        <v>330</v>
      </c>
      <c r="B129" s="157"/>
      <c r="C129" s="157"/>
      <c r="D129" s="157">
        <f t="shared" si="42"/>
        <v>0</v>
      </c>
      <c r="E129" s="157"/>
      <c r="F129" s="157"/>
      <c r="G129" s="157">
        <f t="shared" si="43"/>
        <v>0</v>
      </c>
    </row>
    <row r="130" spans="1:7" s="160" customFormat="1" x14ac:dyDescent="0.25">
      <c r="A130" s="81" t="s">
        <v>331</v>
      </c>
      <c r="B130" s="157"/>
      <c r="C130" s="157"/>
      <c r="D130" s="157">
        <f t="shared" si="42"/>
        <v>0</v>
      </c>
      <c r="E130" s="157"/>
      <c r="F130" s="157"/>
      <c r="G130" s="157">
        <f t="shared" si="43"/>
        <v>0</v>
      </c>
    </row>
    <row r="131" spans="1:7" s="160" customFormat="1" x14ac:dyDescent="0.25">
      <c r="A131" s="81" t="s">
        <v>332</v>
      </c>
      <c r="B131" s="157"/>
      <c r="C131" s="157"/>
      <c r="D131" s="157">
        <f t="shared" si="42"/>
        <v>0</v>
      </c>
      <c r="E131" s="157"/>
      <c r="F131" s="157"/>
      <c r="G131" s="157">
        <f t="shared" si="43"/>
        <v>0</v>
      </c>
    </row>
    <row r="132" spans="1:7" s="160" customFormat="1" x14ac:dyDescent="0.25">
      <c r="A132" s="81" t="s">
        <v>333</v>
      </c>
      <c r="B132" s="157"/>
      <c r="C132" s="157"/>
      <c r="D132" s="157">
        <f t="shared" si="42"/>
        <v>0</v>
      </c>
      <c r="E132" s="157"/>
      <c r="F132" s="157"/>
      <c r="G132" s="157">
        <f t="shared" si="43"/>
        <v>0</v>
      </c>
    </row>
    <row r="133" spans="1:7" s="160" customFormat="1" x14ac:dyDescent="0.25">
      <c r="A133" s="80" t="s">
        <v>334</v>
      </c>
      <c r="B133" s="157">
        <f t="shared" ref="B133:G133" si="44">SUM(B134:B136)</f>
        <v>0</v>
      </c>
      <c r="C133" s="157">
        <f t="shared" si="44"/>
        <v>37574589.380000003</v>
      </c>
      <c r="D133" s="157">
        <f t="shared" si="44"/>
        <v>37574589.380000003</v>
      </c>
      <c r="E133" s="157">
        <f t="shared" si="44"/>
        <v>33247970.16</v>
      </c>
      <c r="F133" s="157">
        <f t="shared" si="44"/>
        <v>33097842.370000001</v>
      </c>
      <c r="G133" s="157">
        <f t="shared" si="44"/>
        <v>4326619.2200000025</v>
      </c>
    </row>
    <row r="134" spans="1:7" s="160" customFormat="1" x14ac:dyDescent="0.25">
      <c r="A134" s="81" t="s">
        <v>335</v>
      </c>
      <c r="B134" s="158">
        <v>0</v>
      </c>
      <c r="C134" s="158">
        <v>37574589.380000003</v>
      </c>
      <c r="D134" s="157">
        <f t="shared" ref="D134" si="45">B134+C134</f>
        <v>37574589.380000003</v>
      </c>
      <c r="E134" s="158">
        <v>33247970.16</v>
      </c>
      <c r="F134" s="158">
        <v>33097842.370000001</v>
      </c>
      <c r="G134" s="157">
        <f t="shared" ref="G134" si="46">D134-E134</f>
        <v>4326619.2200000025</v>
      </c>
    </row>
    <row r="135" spans="1:7" s="160" customFormat="1" x14ac:dyDescent="0.25">
      <c r="A135" s="81" t="s">
        <v>336</v>
      </c>
      <c r="B135" s="157"/>
      <c r="C135" s="157"/>
      <c r="D135" s="157"/>
      <c r="E135" s="157"/>
      <c r="F135" s="157"/>
      <c r="G135" s="157">
        <f>D135-E135</f>
        <v>0</v>
      </c>
    </row>
    <row r="136" spans="1:7" s="160" customFormat="1" x14ac:dyDescent="0.25">
      <c r="A136" s="81" t="s">
        <v>337</v>
      </c>
      <c r="B136" s="157"/>
      <c r="C136" s="157"/>
      <c r="D136" s="157"/>
      <c r="E136" s="157"/>
      <c r="F136" s="157"/>
      <c r="G136" s="157">
        <f>D136-E136</f>
        <v>0</v>
      </c>
    </row>
    <row r="137" spans="1:7" s="160" customFormat="1" x14ac:dyDescent="0.25">
      <c r="A137" s="80" t="s">
        <v>338</v>
      </c>
      <c r="B137" s="157">
        <f t="shared" ref="B137:G137" si="47">SUM(B138:B142,B144:B145)</f>
        <v>25501000</v>
      </c>
      <c r="C137" s="157">
        <f t="shared" si="47"/>
        <v>-25501000</v>
      </c>
      <c r="D137" s="157"/>
      <c r="E137" s="157"/>
      <c r="F137" s="157"/>
      <c r="G137" s="157">
        <f t="shared" si="47"/>
        <v>0</v>
      </c>
    </row>
    <row r="138" spans="1:7" s="160" customFormat="1" x14ac:dyDescent="0.25">
      <c r="A138" s="81" t="s">
        <v>339</v>
      </c>
      <c r="B138" s="157"/>
      <c r="C138" s="157"/>
      <c r="D138" s="157"/>
      <c r="E138" s="157"/>
      <c r="F138" s="157"/>
      <c r="G138" s="157">
        <f>D138-E138</f>
        <v>0</v>
      </c>
    </row>
    <row r="139" spans="1:7" s="160" customFormat="1" x14ac:dyDescent="0.25">
      <c r="A139" s="81" t="s">
        <v>340</v>
      </c>
      <c r="B139" s="157"/>
      <c r="C139" s="157"/>
      <c r="D139" s="157"/>
      <c r="E139" s="157"/>
      <c r="F139" s="157"/>
      <c r="G139" s="157">
        <f t="shared" ref="G139:G145" si="48">D139-E139</f>
        <v>0</v>
      </c>
    </row>
    <row r="140" spans="1:7" s="160" customFormat="1" x14ac:dyDescent="0.25">
      <c r="A140" s="81" t="s">
        <v>341</v>
      </c>
      <c r="B140" s="157"/>
      <c r="C140" s="157"/>
      <c r="D140" s="157"/>
      <c r="E140" s="157"/>
      <c r="F140" s="157"/>
      <c r="G140" s="157">
        <f t="shared" si="48"/>
        <v>0</v>
      </c>
    </row>
    <row r="141" spans="1:7" s="160" customFormat="1" x14ac:dyDescent="0.25">
      <c r="A141" s="81" t="s">
        <v>342</v>
      </c>
      <c r="B141" s="157"/>
      <c r="C141" s="157"/>
      <c r="D141" s="157"/>
      <c r="E141" s="157"/>
      <c r="F141" s="157"/>
      <c r="G141" s="157">
        <f t="shared" si="48"/>
        <v>0</v>
      </c>
    </row>
    <row r="142" spans="1:7" s="160" customFormat="1" x14ac:dyDescent="0.25">
      <c r="A142" s="81" t="s">
        <v>343</v>
      </c>
      <c r="B142" s="157"/>
      <c r="C142" s="157"/>
      <c r="D142" s="157"/>
      <c r="E142" s="157"/>
      <c r="F142" s="157"/>
      <c r="G142" s="157">
        <f t="shared" si="48"/>
        <v>0</v>
      </c>
    </row>
    <row r="143" spans="1:7" s="160" customFormat="1" x14ac:dyDescent="0.25">
      <c r="A143" s="81" t="s">
        <v>3301</v>
      </c>
      <c r="B143" s="157"/>
      <c r="C143" s="157"/>
      <c r="D143" s="157"/>
      <c r="E143" s="157"/>
      <c r="F143" s="157"/>
      <c r="G143" s="157">
        <f t="shared" si="48"/>
        <v>0</v>
      </c>
    </row>
    <row r="144" spans="1:7" s="160" customFormat="1" x14ac:dyDescent="0.25">
      <c r="A144" s="81" t="s">
        <v>345</v>
      </c>
      <c r="B144" s="157"/>
      <c r="C144" s="157"/>
      <c r="D144" s="157"/>
      <c r="E144" s="157"/>
      <c r="F144" s="157"/>
      <c r="G144" s="157">
        <f t="shared" si="48"/>
        <v>0</v>
      </c>
    </row>
    <row r="145" spans="1:7" s="160" customFormat="1" x14ac:dyDescent="0.25">
      <c r="A145" s="81" t="s">
        <v>346</v>
      </c>
      <c r="B145" s="158">
        <v>25501000</v>
      </c>
      <c r="C145" s="158">
        <v>-25501000</v>
      </c>
      <c r="D145" s="157"/>
      <c r="E145" s="157"/>
      <c r="F145" s="157"/>
      <c r="G145" s="157">
        <f t="shared" si="48"/>
        <v>0</v>
      </c>
    </row>
    <row r="146" spans="1:7" s="160" customFormat="1" x14ac:dyDescent="0.25">
      <c r="A146" s="80" t="s">
        <v>347</v>
      </c>
      <c r="B146" s="157"/>
      <c r="C146" s="157"/>
      <c r="D146" s="157"/>
      <c r="E146" s="157"/>
      <c r="F146" s="157"/>
      <c r="G146" s="157">
        <f t="shared" ref="G146" si="49">SUM(G147:G149)</f>
        <v>0</v>
      </c>
    </row>
    <row r="147" spans="1:7" s="160" customFormat="1" x14ac:dyDescent="0.25">
      <c r="A147" s="81" t="s">
        <v>348</v>
      </c>
      <c r="B147" s="157"/>
      <c r="C147" s="157"/>
      <c r="D147" s="157"/>
      <c r="E147" s="157"/>
      <c r="F147" s="157"/>
      <c r="G147" s="157">
        <f>D147-E147</f>
        <v>0</v>
      </c>
    </row>
    <row r="148" spans="1:7" s="160" customFormat="1" x14ac:dyDescent="0.25">
      <c r="A148" s="81" t="s">
        <v>349</v>
      </c>
      <c r="B148" s="157"/>
      <c r="C148" s="157"/>
      <c r="D148" s="157"/>
      <c r="E148" s="157"/>
      <c r="F148" s="157"/>
      <c r="G148" s="157">
        <f>D148-E148</f>
        <v>0</v>
      </c>
    </row>
    <row r="149" spans="1:7" s="160" customFormat="1" x14ac:dyDescent="0.25">
      <c r="A149" s="81" t="s">
        <v>350</v>
      </c>
      <c r="B149" s="157"/>
      <c r="C149" s="157"/>
      <c r="D149" s="157"/>
      <c r="E149" s="157"/>
      <c r="F149" s="157"/>
      <c r="G149" s="157">
        <f>D149-E149</f>
        <v>0</v>
      </c>
    </row>
    <row r="150" spans="1:7" s="160" customFormat="1" x14ac:dyDescent="0.25">
      <c r="A150" s="80" t="s">
        <v>351</v>
      </c>
      <c r="B150" s="157">
        <f t="shared" ref="B150:G150" si="50">SUM(B151:B157)</f>
        <v>0</v>
      </c>
      <c r="C150" s="157">
        <f t="shared" si="50"/>
        <v>0</v>
      </c>
      <c r="D150" s="157">
        <f t="shared" si="50"/>
        <v>0</v>
      </c>
      <c r="E150" s="157">
        <f t="shared" si="50"/>
        <v>0</v>
      </c>
      <c r="F150" s="157">
        <f t="shared" si="50"/>
        <v>0</v>
      </c>
      <c r="G150" s="157">
        <f t="shared" si="50"/>
        <v>0</v>
      </c>
    </row>
    <row r="151" spans="1:7" s="160" customFormat="1" x14ac:dyDescent="0.25">
      <c r="A151" s="81" t="s">
        <v>352</v>
      </c>
      <c r="B151" s="157"/>
      <c r="C151" s="157"/>
      <c r="D151" s="157"/>
      <c r="E151" s="157"/>
      <c r="F151" s="157"/>
      <c r="G151" s="157">
        <f>D151-E151</f>
        <v>0</v>
      </c>
    </row>
    <row r="152" spans="1:7" s="160" customFormat="1" x14ac:dyDescent="0.25">
      <c r="A152" s="81" t="s">
        <v>353</v>
      </c>
      <c r="B152" s="157"/>
      <c r="C152" s="157"/>
      <c r="D152" s="157"/>
      <c r="E152" s="157"/>
      <c r="F152" s="157"/>
      <c r="G152" s="157">
        <f t="shared" ref="G152:G157" si="51">D152-E152</f>
        <v>0</v>
      </c>
    </row>
    <row r="153" spans="1:7" s="160" customFormat="1" x14ac:dyDescent="0.25">
      <c r="A153" s="81" t="s">
        <v>354</v>
      </c>
      <c r="B153" s="157"/>
      <c r="C153" s="157"/>
      <c r="D153" s="157"/>
      <c r="E153" s="157"/>
      <c r="F153" s="157"/>
      <c r="G153" s="157">
        <f t="shared" si="51"/>
        <v>0</v>
      </c>
    </row>
    <row r="154" spans="1:7" s="160" customFormat="1" x14ac:dyDescent="0.25">
      <c r="A154" s="42" t="s">
        <v>355</v>
      </c>
      <c r="B154" s="157"/>
      <c r="C154" s="157"/>
      <c r="D154" s="157"/>
      <c r="E154" s="157"/>
      <c r="F154" s="157"/>
      <c r="G154" s="157">
        <f t="shared" si="51"/>
        <v>0</v>
      </c>
    </row>
    <row r="155" spans="1:7" s="160" customFormat="1" x14ac:dyDescent="0.25">
      <c r="A155" s="81" t="s">
        <v>356</v>
      </c>
      <c r="B155" s="157"/>
      <c r="C155" s="157"/>
      <c r="D155" s="157"/>
      <c r="E155" s="157"/>
      <c r="F155" s="157"/>
      <c r="G155" s="157">
        <f t="shared" si="51"/>
        <v>0</v>
      </c>
    </row>
    <row r="156" spans="1:7" s="160" customFormat="1" x14ac:dyDescent="0.25">
      <c r="A156" s="81" t="s">
        <v>357</v>
      </c>
      <c r="B156" s="157"/>
      <c r="C156" s="157"/>
      <c r="D156" s="157"/>
      <c r="E156" s="157"/>
      <c r="F156" s="157"/>
      <c r="G156" s="157">
        <f t="shared" si="51"/>
        <v>0</v>
      </c>
    </row>
    <row r="157" spans="1:7" s="160" customFormat="1" x14ac:dyDescent="0.25">
      <c r="A157" s="81" t="s">
        <v>358</v>
      </c>
      <c r="B157" s="157"/>
      <c r="C157" s="157"/>
      <c r="D157" s="157"/>
      <c r="E157" s="157"/>
      <c r="F157" s="157"/>
      <c r="G157" s="157">
        <f t="shared" si="51"/>
        <v>0</v>
      </c>
    </row>
    <row r="158" spans="1:7" s="160" customFormat="1" x14ac:dyDescent="0.25">
      <c r="A158" s="43"/>
      <c r="B158" s="161"/>
      <c r="C158" s="161"/>
      <c r="D158" s="161"/>
      <c r="E158" s="161"/>
      <c r="F158" s="161"/>
      <c r="G158" s="161"/>
    </row>
    <row r="159" spans="1:7" s="160" customFormat="1" x14ac:dyDescent="0.25">
      <c r="A159" s="44" t="s">
        <v>360</v>
      </c>
      <c r="B159" s="159">
        <f t="shared" ref="B159:G159" si="52">B9+B84</f>
        <v>94130488</v>
      </c>
      <c r="C159" s="159">
        <f t="shared" si="52"/>
        <v>40234784.489999995</v>
      </c>
      <c r="D159" s="159">
        <f t="shared" si="52"/>
        <v>134365272.49000001</v>
      </c>
      <c r="E159" s="159">
        <f t="shared" si="52"/>
        <v>119311869.38999999</v>
      </c>
      <c r="F159" s="159">
        <f t="shared" si="52"/>
        <v>115189098.33</v>
      </c>
      <c r="G159" s="159">
        <f t="shared" si="52"/>
        <v>15053403.100000001</v>
      </c>
    </row>
    <row r="160" spans="1:7" s="160" customFormat="1" x14ac:dyDescent="0.25">
      <c r="A160" s="65"/>
      <c r="B160" s="162"/>
      <c r="C160" s="162"/>
      <c r="D160" s="162"/>
      <c r="E160" s="162"/>
      <c r="F160" s="162"/>
      <c r="G160" s="162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55530488</v>
      </c>
      <c r="Q2" s="18">
        <f>'Formato 6 a)'!C9</f>
        <v>4811022.379999999</v>
      </c>
      <c r="R2" s="18">
        <f>'Formato 6 a)'!D9</f>
        <v>60341510.379999995</v>
      </c>
      <c r="S2" s="18">
        <f>'Formato 6 a)'!E9</f>
        <v>51481044.359999992</v>
      </c>
      <c r="T2" s="18">
        <f>'Formato 6 a)'!F9</f>
        <v>48690378.379999995</v>
      </c>
      <c r="U2" s="18">
        <f>'Formato 6 a)'!G9</f>
        <v>8860466.0199999996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27474287.640000001</v>
      </c>
      <c r="Q3" s="18">
        <f>'Formato 6 a)'!C10</f>
        <v>106608.68999999994</v>
      </c>
      <c r="R3" s="18">
        <f>'Formato 6 a)'!D10</f>
        <v>27580896.330000002</v>
      </c>
      <c r="S3" s="18">
        <f>'Formato 6 a)'!E10</f>
        <v>26304670.669999998</v>
      </c>
      <c r="T3" s="18">
        <f>'Formato 6 a)'!F10</f>
        <v>24025998.5</v>
      </c>
      <c r="U3" s="18">
        <f>'Formato 6 a)'!G10</f>
        <v>1276225.6600000011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21028934.800000001</v>
      </c>
      <c r="Q4" s="18">
        <f>'Formato 6 a)'!C11</f>
        <v>-348910.82</v>
      </c>
      <c r="R4" s="18">
        <f>'Formato 6 a)'!D11</f>
        <v>20680023.98</v>
      </c>
      <c r="S4" s="18">
        <f>'Formato 6 a)'!E11</f>
        <v>19847388.34</v>
      </c>
      <c r="T4" s="18">
        <f>'Formato 6 a)'!F11</f>
        <v>19847388.34</v>
      </c>
      <c r="U4" s="18">
        <f>'Formato 6 a)'!G11</f>
        <v>832635.6400000006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704000</v>
      </c>
      <c r="Q5" s="18">
        <f>'Formato 6 a)'!C12</f>
        <v>-260042.5</v>
      </c>
      <c r="R5" s="18">
        <f>'Formato 6 a)'!D12</f>
        <v>443957.5</v>
      </c>
      <c r="S5" s="18">
        <f>'Formato 6 a)'!E12</f>
        <v>355995.22</v>
      </c>
      <c r="T5" s="18">
        <f>'Formato 6 a)'!F12</f>
        <v>355995.22</v>
      </c>
      <c r="U5" s="18">
        <f>'Formato 6 a)'!G12</f>
        <v>87962.280000000028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3185006.2</v>
      </c>
      <c r="Q6" s="18">
        <f>'Formato 6 a)'!C13</f>
        <v>120571.37</v>
      </c>
      <c r="R6" s="18">
        <f>'Formato 6 a)'!D13</f>
        <v>3305577.5700000003</v>
      </c>
      <c r="S6" s="18">
        <f>'Formato 6 a)'!E13</f>
        <v>3205985.62</v>
      </c>
      <c r="T6" s="18">
        <f>'Formato 6 a)'!F13</f>
        <v>2554936.4300000002</v>
      </c>
      <c r="U6" s="18">
        <f>'Formato 6 a)'!G13</f>
        <v>99591.950000000186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822595.63</v>
      </c>
      <c r="Q7" s="18">
        <f>'Formato 6 a)'!C14</f>
        <v>67221.509999999995</v>
      </c>
      <c r="R7" s="18">
        <f>'Formato 6 a)'!D14</f>
        <v>889817.14</v>
      </c>
      <c r="S7" s="18">
        <f>'Formato 6 a)'!E14</f>
        <v>842717.84</v>
      </c>
      <c r="T7" s="18">
        <f>'Formato 6 a)'!F14</f>
        <v>842717.84</v>
      </c>
      <c r="U7" s="18">
        <f>'Formato 6 a)'!G14</f>
        <v>47099.300000000047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1733751.01</v>
      </c>
      <c r="Q8" s="18">
        <f>'Formato 6 a)'!C15</f>
        <v>527769.13</v>
      </c>
      <c r="R8" s="18">
        <f>'Formato 6 a)'!D15</f>
        <v>2261520.14</v>
      </c>
      <c r="S8" s="18">
        <f>'Formato 6 a)'!E15</f>
        <v>2052583.65</v>
      </c>
      <c r="T8" s="18">
        <f>'Formato 6 a)'!F15</f>
        <v>424960.67</v>
      </c>
      <c r="U8" s="18">
        <f>'Formato 6 a)'!G15</f>
        <v>208936.49000000022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4305671.5</v>
      </c>
      <c r="Q11" s="18">
        <f>'Formato 6 a)'!C18</f>
        <v>2395406.17</v>
      </c>
      <c r="R11" s="18">
        <f>'Formato 6 a)'!D18</f>
        <v>6701077.6700000009</v>
      </c>
      <c r="S11" s="18">
        <f>'Formato 6 a)'!E18</f>
        <v>4619971.8</v>
      </c>
      <c r="T11" s="18">
        <f>'Formato 6 a)'!F18</f>
        <v>4411496.26</v>
      </c>
      <c r="U11" s="18">
        <f>'Formato 6 a)'!G18</f>
        <v>2081105.87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496000</v>
      </c>
      <c r="Q12" s="18">
        <f>'Formato 6 a)'!C19</f>
        <v>309721.89</v>
      </c>
      <c r="R12" s="18">
        <f>'Formato 6 a)'!D19</f>
        <v>805721.89</v>
      </c>
      <c r="S12" s="18">
        <f>'Formato 6 a)'!E19</f>
        <v>581592.1</v>
      </c>
      <c r="T12" s="18">
        <f>'Formato 6 a)'!F19</f>
        <v>581592.1</v>
      </c>
      <c r="U12" s="18">
        <f>'Formato 6 a)'!G19</f>
        <v>224129.79000000004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427500</v>
      </c>
      <c r="Q13" s="18">
        <f>'Formato 6 a)'!C20</f>
        <v>-90596.17</v>
      </c>
      <c r="R13" s="18">
        <f>'Formato 6 a)'!D20</f>
        <v>336903.83</v>
      </c>
      <c r="S13" s="18">
        <f>'Formato 6 a)'!E20</f>
        <v>187793.91</v>
      </c>
      <c r="T13" s="18">
        <f>'Formato 6 a)'!F20</f>
        <v>187793.91</v>
      </c>
      <c r="U13" s="18">
        <f>'Formato 6 a)'!G20</f>
        <v>149109.92000000001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204171.5</v>
      </c>
      <c r="Q15" s="18">
        <f>'Formato 6 a)'!C22</f>
        <v>745086.17</v>
      </c>
      <c r="R15" s="18">
        <f>'Formato 6 a)'!D22</f>
        <v>949257.67</v>
      </c>
      <c r="S15" s="18">
        <f>'Formato 6 a)'!E22</f>
        <v>723608.56</v>
      </c>
      <c r="T15" s="18">
        <f>'Formato 6 a)'!F22</f>
        <v>710608.56</v>
      </c>
      <c r="U15" s="18">
        <f>'Formato 6 a)'!G22</f>
        <v>225649.11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140000</v>
      </c>
      <c r="Q16" s="18">
        <f>'Formato 6 a)'!C23</f>
        <v>94002.85</v>
      </c>
      <c r="R16" s="18">
        <f>'Formato 6 a)'!D23</f>
        <v>234002.85</v>
      </c>
      <c r="S16" s="18">
        <f>'Formato 6 a)'!E23</f>
        <v>212477.34</v>
      </c>
      <c r="T16" s="18">
        <f>'Formato 6 a)'!F23</f>
        <v>212477.34</v>
      </c>
      <c r="U16" s="18">
        <f>'Formato 6 a)'!G23</f>
        <v>21525.510000000009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2862000</v>
      </c>
      <c r="Q17" s="18">
        <f>'Formato 6 a)'!C24</f>
        <v>1197235.96</v>
      </c>
      <c r="R17" s="18">
        <f>'Formato 6 a)'!D24</f>
        <v>4059235.96</v>
      </c>
      <c r="S17" s="18">
        <f>'Formato 6 a)'!E24</f>
        <v>2667791.71</v>
      </c>
      <c r="T17" s="18">
        <f>'Formato 6 a)'!F24</f>
        <v>2472316.17</v>
      </c>
      <c r="U17" s="18">
        <f>'Formato 6 a)'!G24</f>
        <v>1391444.25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127000</v>
      </c>
      <c r="Q18" s="18">
        <f>'Formato 6 a)'!C25</f>
        <v>125252.69</v>
      </c>
      <c r="R18" s="18">
        <f>'Formato 6 a)'!D25</f>
        <v>252252.69</v>
      </c>
      <c r="S18" s="18">
        <f>'Formato 6 a)'!E25</f>
        <v>229195.34</v>
      </c>
      <c r="T18" s="18">
        <f>'Formato 6 a)'!F25</f>
        <v>229195.34</v>
      </c>
      <c r="U18" s="18">
        <f>'Formato 6 a)'!G25</f>
        <v>23057.350000000006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49000</v>
      </c>
      <c r="Q20" s="18">
        <f>'Formato 6 a)'!C27</f>
        <v>14702.78</v>
      </c>
      <c r="R20" s="18">
        <f>'Formato 6 a)'!D27</f>
        <v>63702.78</v>
      </c>
      <c r="S20" s="18">
        <f>'Formato 6 a)'!E27</f>
        <v>17512.84</v>
      </c>
      <c r="T20" s="18">
        <f>'Formato 6 a)'!F27</f>
        <v>17512.84</v>
      </c>
      <c r="U20" s="18">
        <f>'Formato 6 a)'!G27</f>
        <v>46189.94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12431857.289999999</v>
      </c>
      <c r="Q21" s="18">
        <f>'Formato 6 a)'!C28</f>
        <v>-2431744.3200000003</v>
      </c>
      <c r="R21" s="18">
        <f>'Formato 6 a)'!D28</f>
        <v>10000112.969999999</v>
      </c>
      <c r="S21" s="18">
        <f>'Formato 6 a)'!E28</f>
        <v>5873022.1600000001</v>
      </c>
      <c r="T21" s="18">
        <f>'Formato 6 a)'!F28</f>
        <v>5715478.25</v>
      </c>
      <c r="U21" s="18">
        <f>'Formato 6 a)'!G28</f>
        <v>4127090.8099999996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1831000</v>
      </c>
      <c r="Q22" s="18">
        <f>'Formato 6 a)'!C29</f>
        <v>-79886.149999999994</v>
      </c>
      <c r="R22" s="18">
        <f>'Formato 6 a)'!D29</f>
        <v>1751113.85</v>
      </c>
      <c r="S22" s="18">
        <f>'Formato 6 a)'!E29</f>
        <v>1066096.73</v>
      </c>
      <c r="T22" s="18">
        <f>'Formato 6 a)'!F29</f>
        <v>1066096.73</v>
      </c>
      <c r="U22" s="18">
        <f>'Formato 6 a)'!G29</f>
        <v>685017.12000000011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129500</v>
      </c>
      <c r="Q23" s="18">
        <f>'Formato 6 a)'!C30</f>
        <v>-18780.8</v>
      </c>
      <c r="R23" s="18">
        <f>'Formato 6 a)'!D30</f>
        <v>110719.2</v>
      </c>
      <c r="S23" s="18">
        <f>'Formato 6 a)'!E30</f>
        <v>46548.78</v>
      </c>
      <c r="T23" s="18">
        <f>'Formato 6 a)'!F30</f>
        <v>46548.78</v>
      </c>
      <c r="U23" s="18">
        <f>'Formato 6 a)'!G30</f>
        <v>64170.42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210000</v>
      </c>
      <c r="Q24" s="18">
        <f>'Formato 6 a)'!C31</f>
        <v>77635.81</v>
      </c>
      <c r="R24" s="18">
        <f>'Formato 6 a)'!D31</f>
        <v>287635.81</v>
      </c>
      <c r="S24" s="18">
        <f>'Formato 6 a)'!E31</f>
        <v>221611.29</v>
      </c>
      <c r="T24" s="18">
        <f>'Formato 6 a)'!F31</f>
        <v>221611.29</v>
      </c>
      <c r="U24" s="18">
        <f>'Formato 6 a)'!G31</f>
        <v>66024.51999999999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297000</v>
      </c>
      <c r="Q25" s="18">
        <f>'Formato 6 a)'!C32</f>
        <v>126888.2</v>
      </c>
      <c r="R25" s="18">
        <f>'Formato 6 a)'!D32</f>
        <v>423888.2</v>
      </c>
      <c r="S25" s="18">
        <f>'Formato 6 a)'!E32</f>
        <v>368683.91</v>
      </c>
      <c r="T25" s="18">
        <f>'Formato 6 a)'!F32</f>
        <v>368683.91</v>
      </c>
      <c r="U25" s="18">
        <f>'Formato 6 a)'!G32</f>
        <v>55204.290000000037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2576500</v>
      </c>
      <c r="Q26" s="18">
        <f>'Formato 6 a)'!C33</f>
        <v>248707.73</v>
      </c>
      <c r="R26" s="18">
        <f>'Formato 6 a)'!D33</f>
        <v>2825207.73</v>
      </c>
      <c r="S26" s="18">
        <f>'Formato 6 a)'!E33</f>
        <v>2128855.63</v>
      </c>
      <c r="T26" s="18">
        <f>'Formato 6 a)'!F33</f>
        <v>2068201.72</v>
      </c>
      <c r="U26" s="18">
        <f>'Formato 6 a)'!G33</f>
        <v>696352.10000000009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170000</v>
      </c>
      <c r="Q27" s="18">
        <f>'Formato 6 a)'!C34</f>
        <v>153015.6</v>
      </c>
      <c r="R27" s="18">
        <f>'Formato 6 a)'!D34</f>
        <v>323015.59999999998</v>
      </c>
      <c r="S27" s="18">
        <f>'Formato 6 a)'!E34</f>
        <v>259703.2</v>
      </c>
      <c r="T27" s="18">
        <f>'Formato 6 a)'!F34</f>
        <v>259703.2</v>
      </c>
      <c r="U27" s="18">
        <f>'Formato 6 a)'!G34</f>
        <v>63312.399999999965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392500</v>
      </c>
      <c r="Q28" s="18">
        <f>'Formato 6 a)'!C35</f>
        <v>-73346.34</v>
      </c>
      <c r="R28" s="18">
        <f>'Formato 6 a)'!D35</f>
        <v>319153.66000000003</v>
      </c>
      <c r="S28" s="18">
        <f>'Formato 6 a)'!E35</f>
        <v>140943.84</v>
      </c>
      <c r="T28" s="18">
        <f>'Formato 6 a)'!F35</f>
        <v>140943.84</v>
      </c>
      <c r="U28" s="18">
        <f>'Formato 6 a)'!G35</f>
        <v>178209.82000000004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6216000</v>
      </c>
      <c r="Q29" s="18">
        <f>'Formato 6 a)'!C36</f>
        <v>-2891318.37</v>
      </c>
      <c r="R29" s="18">
        <f>'Formato 6 a)'!D36</f>
        <v>3324681.63</v>
      </c>
      <c r="S29" s="18">
        <f>'Formato 6 a)'!E36</f>
        <v>1068598.6100000001</v>
      </c>
      <c r="T29" s="18">
        <f>'Formato 6 a)'!F36</f>
        <v>1068598.6100000001</v>
      </c>
      <c r="U29" s="18">
        <f>'Formato 6 a)'!G36</f>
        <v>2256083.0199999996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609357.29</v>
      </c>
      <c r="Q30" s="18">
        <f>'Formato 6 a)'!C37</f>
        <v>25340</v>
      </c>
      <c r="R30" s="18">
        <f>'Formato 6 a)'!D37</f>
        <v>634697.29</v>
      </c>
      <c r="S30" s="18">
        <f>'Formato 6 a)'!E37</f>
        <v>571980.17000000004</v>
      </c>
      <c r="T30" s="18">
        <f>'Formato 6 a)'!F37</f>
        <v>475090.17</v>
      </c>
      <c r="U30" s="18">
        <f>'Formato 6 a)'!G37</f>
        <v>62717.119999999995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7670000</v>
      </c>
      <c r="Q31" s="18">
        <f>'Formato 6 a)'!C38</f>
        <v>1454091.77</v>
      </c>
      <c r="R31" s="18">
        <f>'Formato 6 a)'!D38</f>
        <v>9124091.7699999996</v>
      </c>
      <c r="S31" s="18">
        <f>'Formato 6 a)'!E38</f>
        <v>9098653.1899999995</v>
      </c>
      <c r="T31" s="18">
        <f>'Formato 6 a)'!F38</f>
        <v>8960998.8300000001</v>
      </c>
      <c r="U31" s="18">
        <f>'Formato 6 a)'!G38</f>
        <v>25438.580000000075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5340000</v>
      </c>
      <c r="Q33" s="18">
        <f>'Formato 6 a)'!C40</f>
        <v>0</v>
      </c>
      <c r="R33" s="18">
        <f>'Formato 6 a)'!D40</f>
        <v>5340000</v>
      </c>
      <c r="S33" s="18">
        <f>'Formato 6 a)'!E40</f>
        <v>5340000</v>
      </c>
      <c r="T33" s="18">
        <f>'Formato 6 a)'!F40</f>
        <v>5340000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2330000</v>
      </c>
      <c r="Q35" s="18">
        <f>'Formato 6 a)'!C42</f>
        <v>1454091.77</v>
      </c>
      <c r="R35" s="18">
        <f>'Formato 6 a)'!D42</f>
        <v>3784091.77</v>
      </c>
      <c r="S35" s="18">
        <f>'Formato 6 a)'!E42</f>
        <v>3758653.19</v>
      </c>
      <c r="T35" s="18">
        <f>'Formato 6 a)'!F42</f>
        <v>3620998.83</v>
      </c>
      <c r="U35" s="18">
        <f>'Formato 6 a)'!G42</f>
        <v>25438.580000000075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534000</v>
      </c>
      <c r="Q41" s="18">
        <f>'Formato 6 a)'!C48</f>
        <v>262205.36</v>
      </c>
      <c r="R41" s="18">
        <f>'Formato 6 a)'!D48</f>
        <v>796205.3600000001</v>
      </c>
      <c r="S41" s="18">
        <f>'Formato 6 a)'!E48</f>
        <v>621403.30000000005</v>
      </c>
      <c r="T41" s="18">
        <f>'Formato 6 a)'!F48</f>
        <v>613083.30000000005</v>
      </c>
      <c r="U41" s="18">
        <f>'Formato 6 a)'!G48</f>
        <v>174802.06000000003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389000</v>
      </c>
      <c r="Q42" s="18">
        <f>'Formato 6 a)'!C49</f>
        <v>-85230.1</v>
      </c>
      <c r="R42" s="18">
        <f>'Formato 6 a)'!D49</f>
        <v>303769.90000000002</v>
      </c>
      <c r="S42" s="18">
        <f>'Formato 6 a)'!E49</f>
        <v>184298.44</v>
      </c>
      <c r="T42" s="18">
        <f>'Formato 6 a)'!F49</f>
        <v>175978.44</v>
      </c>
      <c r="U42" s="18">
        <f>'Formato 6 a)'!G49</f>
        <v>119471.46000000002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93993.03</v>
      </c>
      <c r="R43" s="18">
        <f>'Formato 6 a)'!D50</f>
        <v>93993.03</v>
      </c>
      <c r="S43" s="18">
        <f>'Formato 6 a)'!E50</f>
        <v>88997.43</v>
      </c>
      <c r="T43" s="18">
        <f>'Formato 6 a)'!F50</f>
        <v>88997.43</v>
      </c>
      <c r="U43" s="18">
        <f>'Formato 6 a)'!G50</f>
        <v>4995.6000000000058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10114.44</v>
      </c>
      <c r="R44" s="18">
        <f>'Formato 6 a)'!D51</f>
        <v>10114.44</v>
      </c>
      <c r="S44" s="18">
        <f>'Formato 6 a)'!E51</f>
        <v>7114.44</v>
      </c>
      <c r="T44" s="18">
        <f>'Formato 6 a)'!F51</f>
        <v>7114.44</v>
      </c>
      <c r="U44" s="18">
        <f>'Formato 6 a)'!G51</f>
        <v>3000.0000000000009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125000</v>
      </c>
      <c r="Q47" s="18">
        <f>'Formato 6 a)'!C54</f>
        <v>256327.99</v>
      </c>
      <c r="R47" s="18">
        <f>'Formato 6 a)'!D54</f>
        <v>381327.99</v>
      </c>
      <c r="S47" s="18">
        <f>'Formato 6 a)'!E54</f>
        <v>340992.99</v>
      </c>
      <c r="T47" s="18">
        <f>'Formato 6 a)'!F54</f>
        <v>340992.99</v>
      </c>
      <c r="U47" s="18">
        <f>'Formato 6 a)'!G54</f>
        <v>40335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20000</v>
      </c>
      <c r="Q50" s="18">
        <f>'Formato 6 a)'!C57</f>
        <v>-13000</v>
      </c>
      <c r="R50" s="18">
        <f>'Formato 6 a)'!D57</f>
        <v>7000</v>
      </c>
      <c r="S50" s="18">
        <f>'Formato 6 a)'!E57</f>
        <v>0</v>
      </c>
      <c r="T50" s="18">
        <f>'Formato 6 a)'!F57</f>
        <v>0</v>
      </c>
      <c r="U50" s="18">
        <f>'Formato 6 a)'!G57</f>
        <v>7000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1796655.11</v>
      </c>
      <c r="R51" s="18">
        <f>'Formato 6 a)'!D58</f>
        <v>1796655.11</v>
      </c>
      <c r="S51" s="18">
        <f>'Formato 6 a)'!E58</f>
        <v>1346877.27</v>
      </c>
      <c r="T51" s="18">
        <f>'Formato 6 a)'!F58</f>
        <v>1346877.27</v>
      </c>
      <c r="U51" s="18">
        <f>'Formato 6 a)'!G58</f>
        <v>449777.84000000008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1546655.11</v>
      </c>
      <c r="R52" s="18">
        <f>'Formato 6 a)'!D59</f>
        <v>1546655.11</v>
      </c>
      <c r="S52" s="18">
        <f>'Formato 6 a)'!E59</f>
        <v>1096877.27</v>
      </c>
      <c r="T52" s="18">
        <f>'Formato 6 a)'!F59</f>
        <v>1096877.27</v>
      </c>
      <c r="U52" s="18">
        <f>'Formato 6 a)'!G59</f>
        <v>449777.84000000008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250000</v>
      </c>
      <c r="R54" s="18">
        <f>'Formato 6 a)'!D61</f>
        <v>250000</v>
      </c>
      <c r="S54" s="18">
        <f>'Formato 6 a)'!E61</f>
        <v>250000</v>
      </c>
      <c r="T54" s="18">
        <f>'Formato 6 a)'!F61</f>
        <v>250000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24168.66</v>
      </c>
      <c r="Q55" s="18">
        <f>'Formato 6 a)'!C62</f>
        <v>701856.54</v>
      </c>
      <c r="R55" s="18">
        <f>'Formato 6 a)'!D62</f>
        <v>726025.20000000007</v>
      </c>
      <c r="S55" s="18">
        <f>'Formato 6 a)'!E62</f>
        <v>0</v>
      </c>
      <c r="T55" s="18">
        <f>'Formato 6 a)'!F62</f>
        <v>0</v>
      </c>
      <c r="U55" s="18">
        <f>'Formato 6 a)'!G62</f>
        <v>726025.20000000007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3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24168.66</v>
      </c>
      <c r="Q63" s="18">
        <f>'Formato 6 a)'!C70</f>
        <v>701856.54</v>
      </c>
      <c r="R63" s="18">
        <f>'Formato 6 a)'!D70</f>
        <v>726025.20000000007</v>
      </c>
      <c r="S63" s="18">
        <f>'Formato 6 a)'!E70</f>
        <v>0</v>
      </c>
      <c r="T63" s="18">
        <f>'Formato 6 a)'!F70</f>
        <v>0</v>
      </c>
      <c r="U63" s="18">
        <f>'Formato 6 a)'!G70</f>
        <v>726025.20000000007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550070.97</v>
      </c>
      <c r="R64" s="18">
        <f>'Formato 6 a)'!D71</f>
        <v>550070.97</v>
      </c>
      <c r="S64" s="18">
        <f>'Formato 6 a)'!E71</f>
        <v>550070.97</v>
      </c>
      <c r="T64" s="18">
        <f>'Formato 6 a)'!F71</f>
        <v>550070.97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550070.97</v>
      </c>
      <c r="R67" s="18">
        <f>'Formato 6 a)'!D74</f>
        <v>550070.97</v>
      </c>
      <c r="S67" s="18">
        <f>'Formato 6 a)'!E74</f>
        <v>550070.97</v>
      </c>
      <c r="T67" s="18">
        <f>'Formato 6 a)'!F74</f>
        <v>550070.97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3090502.91</v>
      </c>
      <c r="Q68" s="18">
        <f>'Formato 6 a)'!C75</f>
        <v>-24127.91</v>
      </c>
      <c r="R68" s="18">
        <f>'Formato 6 a)'!D75</f>
        <v>3066375</v>
      </c>
      <c r="S68" s="18">
        <f>'Formato 6 a)'!E75</f>
        <v>3066375</v>
      </c>
      <c r="T68" s="18">
        <f>'Formato 6 a)'!F75</f>
        <v>3066375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3000000</v>
      </c>
      <c r="Q69" s="18">
        <f>'Formato 6 a)'!C76</f>
        <v>0</v>
      </c>
      <c r="R69" s="18">
        <f>'Formato 6 a)'!D76</f>
        <v>3000000</v>
      </c>
      <c r="S69" s="18">
        <f>'Formato 6 a)'!E76</f>
        <v>3000000</v>
      </c>
      <c r="T69" s="18">
        <f>'Formato 6 a)'!F76</f>
        <v>3000000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90502.91</v>
      </c>
      <c r="Q70" s="18">
        <f>'Formato 6 a)'!C77</f>
        <v>-24127.91</v>
      </c>
      <c r="R70" s="18">
        <f>'Formato 6 a)'!D77</f>
        <v>66375</v>
      </c>
      <c r="S70" s="18">
        <f>'Formato 6 a)'!E77</f>
        <v>66375</v>
      </c>
      <c r="T70" s="18">
        <f>'Formato 6 a)'!F77</f>
        <v>66375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38600000</v>
      </c>
      <c r="Q76">
        <f>'Formato 6 a)'!C84</f>
        <v>35423762.109999999</v>
      </c>
      <c r="R76">
        <f>'Formato 6 a)'!D84</f>
        <v>74023762.110000014</v>
      </c>
      <c r="S76">
        <f>'Formato 6 a)'!E84</f>
        <v>67830825.030000001</v>
      </c>
      <c r="T76">
        <f>'Formato 6 a)'!F84</f>
        <v>66498719.950000003</v>
      </c>
      <c r="U76">
        <f>'Formato 6 a)'!G84</f>
        <v>6192937.0800000019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6755802.1599999992</v>
      </c>
      <c r="Q77">
        <f>'Formato 6 a)'!C85</f>
        <v>-755335.66999999993</v>
      </c>
      <c r="R77">
        <f>'Formato 6 a)'!D85</f>
        <v>6000466.4900000002</v>
      </c>
      <c r="S77">
        <f>'Formato 6 a)'!E85</f>
        <v>6000466.4900000002</v>
      </c>
      <c r="T77">
        <f>'Formato 6 a)'!F85</f>
        <v>6000466.4900000002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5362842.8</v>
      </c>
      <c r="Q78">
        <f>'Formato 6 a)'!C86</f>
        <v>-71357.58</v>
      </c>
      <c r="R78">
        <f>'Formato 6 a)'!D86</f>
        <v>5291485.22</v>
      </c>
      <c r="S78">
        <f>'Formato 6 a)'!E86</f>
        <v>5291485.22</v>
      </c>
      <c r="T78">
        <f>'Formato 6 a)'!F86</f>
        <v>5291485.22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952177.76</v>
      </c>
      <c r="Q80">
        <f>'Formato 6 a)'!C88</f>
        <v>-275324.99</v>
      </c>
      <c r="R80">
        <f>'Formato 6 a)'!D88</f>
        <v>676852.77</v>
      </c>
      <c r="S80">
        <f>'Formato 6 a)'!E88</f>
        <v>676852.77</v>
      </c>
      <c r="T80">
        <f>'Formato 6 a)'!F88</f>
        <v>676852.77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440781.6</v>
      </c>
      <c r="Q82">
        <f>'Formato 6 a)'!C90</f>
        <v>-408653.1</v>
      </c>
      <c r="R82">
        <f>'Formato 6 a)'!D90</f>
        <v>32128.5</v>
      </c>
      <c r="S82">
        <f>'Formato 6 a)'!E90</f>
        <v>32128.5</v>
      </c>
      <c r="T82">
        <f>'Formato 6 a)'!F90</f>
        <v>32128.5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1143197.8400000001</v>
      </c>
      <c r="Q85">
        <f>'Formato 6 a)'!C93</f>
        <v>158719.48000000001</v>
      </c>
      <c r="R85">
        <f>'Formato 6 a)'!D93</f>
        <v>1301917.32</v>
      </c>
      <c r="S85">
        <f>'Formato 6 a)'!E93</f>
        <v>1301917.32</v>
      </c>
      <c r="T85">
        <f>'Formato 6 a)'!F93</f>
        <v>1197302.82</v>
      </c>
      <c r="U85">
        <f>'Formato 6 a)'!G93</f>
        <v>9.0949470177292824E-12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143197.84</v>
      </c>
      <c r="Q89">
        <f>'Formato 6 a)'!C97</f>
        <v>-136024.82999999999</v>
      </c>
      <c r="R89">
        <f>'Formato 6 a)'!D97</f>
        <v>7173.0100000000093</v>
      </c>
      <c r="S89">
        <f>'Formato 6 a)'!E97</f>
        <v>7173.01</v>
      </c>
      <c r="T89">
        <f>'Formato 6 a)'!F97</f>
        <v>7173.01</v>
      </c>
      <c r="U89">
        <f>'Formato 6 a)'!G97</f>
        <v>9.0949470177292824E-12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1000000</v>
      </c>
      <c r="Q91">
        <f>'Formato 6 a)'!C99</f>
        <v>294744.31</v>
      </c>
      <c r="R91">
        <f>'Formato 6 a)'!D99</f>
        <v>1294744.31</v>
      </c>
      <c r="S91">
        <f>'Formato 6 a)'!E99</f>
        <v>1294744.31</v>
      </c>
      <c r="T91">
        <f>'Formato 6 a)'!F99</f>
        <v>1190129.81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400000</v>
      </c>
      <c r="Q95">
        <f>'Formato 6 a)'!C103</f>
        <v>1033313.5</v>
      </c>
      <c r="R95">
        <f>'Formato 6 a)'!D103</f>
        <v>1433313.5</v>
      </c>
      <c r="S95">
        <f>'Formato 6 a)'!E103</f>
        <v>1433313.5</v>
      </c>
      <c r="T95">
        <f>'Formato 6 a)'!F103</f>
        <v>1433313.5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1176300.24</v>
      </c>
      <c r="R96">
        <f>'Formato 6 a)'!D104</f>
        <v>1176300.24</v>
      </c>
      <c r="S96">
        <f>'Formato 6 a)'!E104</f>
        <v>1176300.24</v>
      </c>
      <c r="T96">
        <f>'Formato 6 a)'!F104</f>
        <v>1176300.24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400000</v>
      </c>
      <c r="Q100">
        <f>'Formato 6 a)'!C108</f>
        <v>-142986.74</v>
      </c>
      <c r="R100">
        <f>'Formato 6 a)'!D108</f>
        <v>257013.26</v>
      </c>
      <c r="S100">
        <f>'Formato 6 a)'!E108</f>
        <v>257013.26</v>
      </c>
      <c r="T100">
        <f>'Formato 6 a)'!F108</f>
        <v>257013.26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4800000</v>
      </c>
      <c r="Q105">
        <f>'Formato 6 a)'!C113</f>
        <v>22913475.420000002</v>
      </c>
      <c r="R105">
        <f>'Formato 6 a)'!D113</f>
        <v>27713475.420000002</v>
      </c>
      <c r="S105">
        <f>'Formato 6 a)'!E113</f>
        <v>25847157.560000002</v>
      </c>
      <c r="T105">
        <f>'Formato 6 a)'!F113</f>
        <v>24769794.770000003</v>
      </c>
      <c r="U105">
        <f>'Formato 6 a)'!G113</f>
        <v>1866317.8599999994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4800000</v>
      </c>
      <c r="Q108">
        <f>'Formato 6 a)'!C116</f>
        <v>-338166.31</v>
      </c>
      <c r="R108">
        <f>'Formato 6 a)'!D116</f>
        <v>4461833.6900000004</v>
      </c>
      <c r="S108">
        <f>'Formato 6 a)'!E116</f>
        <v>4461833.6900000004</v>
      </c>
      <c r="T108">
        <f>'Formato 6 a)'!F116</f>
        <v>4203633.1500000004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23251641.73</v>
      </c>
      <c r="R109">
        <f>'Formato 6 a)'!D117</f>
        <v>23251641.73</v>
      </c>
      <c r="S109">
        <f>'Formato 6 a)'!E117</f>
        <v>21385323.870000001</v>
      </c>
      <c r="T109">
        <f>'Formato 6 a)'!F117</f>
        <v>20566161.620000001</v>
      </c>
      <c r="U109">
        <f>'Formato 6 a)'!G117</f>
        <v>1866317.8599999994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37574589.380000003</v>
      </c>
      <c r="R125">
        <f>'Formato 6 a)'!D133</f>
        <v>37574589.380000003</v>
      </c>
      <c r="S125">
        <f>'Formato 6 a)'!E133</f>
        <v>33247970.16</v>
      </c>
      <c r="T125">
        <f>'Formato 6 a)'!F133</f>
        <v>33097842.370000001</v>
      </c>
      <c r="U125">
        <f>'Formato 6 a)'!G133</f>
        <v>4326619.2200000025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37574589.380000003</v>
      </c>
      <c r="R126">
        <f>'Formato 6 a)'!D134</f>
        <v>37574589.380000003</v>
      </c>
      <c r="S126">
        <f>'Formato 6 a)'!E134</f>
        <v>33247970.16</v>
      </c>
      <c r="T126">
        <f>'Formato 6 a)'!F134</f>
        <v>33097842.370000001</v>
      </c>
      <c r="U126">
        <f>'Formato 6 a)'!G134</f>
        <v>4326619.2200000025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25501000</v>
      </c>
      <c r="Q129">
        <f>'Formato 6 a)'!C137</f>
        <v>-25501000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25501000</v>
      </c>
      <c r="Q137">
        <f>'Formato 6 a)'!C145</f>
        <v>-25501000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94130488</v>
      </c>
      <c r="Q150">
        <f>'Formato 6 a)'!C159</f>
        <v>40234784.489999995</v>
      </c>
      <c r="R150">
        <f>'Formato 6 a)'!D159</f>
        <v>134365272.49000001</v>
      </c>
      <c r="S150">
        <f>'Formato 6 a)'!E159</f>
        <v>119311869.38999999</v>
      </c>
      <c r="T150">
        <f>'Formato 6 a)'!F159</f>
        <v>115189098.33</v>
      </c>
      <c r="U150">
        <f>'Formato 6 a)'!G159</f>
        <v>15053403.100000001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22" zoomScale="80" zoomScaleNormal="80" workbookViewId="0">
      <selection activeCell="D9" sqref="D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90" t="s">
        <v>3290</v>
      </c>
      <c r="B1" s="190"/>
      <c r="C1" s="190"/>
      <c r="D1" s="190"/>
      <c r="E1" s="190"/>
      <c r="F1" s="190"/>
      <c r="G1" s="190"/>
    </row>
    <row r="2" spans="1:7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3"/>
    </row>
    <row r="3" spans="1:7" x14ac:dyDescent="0.25">
      <c r="A3" s="174" t="s">
        <v>277</v>
      </c>
      <c r="B3" s="175"/>
      <c r="C3" s="175"/>
      <c r="D3" s="175"/>
      <c r="E3" s="175"/>
      <c r="F3" s="175"/>
      <c r="G3" s="176"/>
    </row>
    <row r="4" spans="1:7" x14ac:dyDescent="0.25">
      <c r="A4" s="174" t="s">
        <v>431</v>
      </c>
      <c r="B4" s="175"/>
      <c r="C4" s="175"/>
      <c r="D4" s="175"/>
      <c r="E4" s="175"/>
      <c r="F4" s="175"/>
      <c r="G4" s="176"/>
    </row>
    <row r="5" spans="1:7" x14ac:dyDescent="0.25">
      <c r="A5" s="177" t="str">
        <f>TRIMESTRE</f>
        <v>Del 1 de enero al 31 de diciembre de 2020 (b)</v>
      </c>
      <c r="B5" s="178"/>
      <c r="C5" s="178"/>
      <c r="D5" s="178"/>
      <c r="E5" s="178"/>
      <c r="F5" s="178"/>
      <c r="G5" s="179"/>
    </row>
    <row r="6" spans="1:7" x14ac:dyDescent="0.25">
      <c r="A6" s="180" t="s">
        <v>118</v>
      </c>
      <c r="B6" s="181"/>
      <c r="C6" s="181"/>
      <c r="D6" s="181"/>
      <c r="E6" s="181"/>
      <c r="F6" s="181"/>
      <c r="G6" s="182"/>
    </row>
    <row r="7" spans="1:7" x14ac:dyDescent="0.25">
      <c r="A7" s="186" t="s">
        <v>0</v>
      </c>
      <c r="B7" s="188" t="s">
        <v>279</v>
      </c>
      <c r="C7" s="188"/>
      <c r="D7" s="188"/>
      <c r="E7" s="188"/>
      <c r="F7" s="188"/>
      <c r="G7" s="192" t="s">
        <v>280</v>
      </c>
    </row>
    <row r="8" spans="1:7" ht="30" x14ac:dyDescent="0.25">
      <c r="A8" s="187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91"/>
    </row>
    <row r="9" spans="1:7" x14ac:dyDescent="0.25">
      <c r="A9" s="52" t="s">
        <v>440</v>
      </c>
      <c r="B9" s="59">
        <f>SUM(B10:GASTO_NE_FIN_01)</f>
        <v>55530488</v>
      </c>
      <c r="C9" s="59">
        <f>SUM(C10:GASTO_NE_FIN_02)</f>
        <v>4811022.38</v>
      </c>
      <c r="D9" s="59">
        <f>SUM(D10:GASTO_NE_FIN_03)</f>
        <v>60341510.380000003</v>
      </c>
      <c r="E9" s="59">
        <f>SUM(E10:GASTO_NE_FIN_04)</f>
        <v>51481044.359999999</v>
      </c>
      <c r="F9" s="59">
        <f>SUM(F10:GASTO_NE_FIN_05)</f>
        <v>48690378.380000003</v>
      </c>
      <c r="G9" s="59">
        <f>SUM(G10:GASTO_NE_FIN_06)</f>
        <v>8860466.0199999996</v>
      </c>
    </row>
    <row r="10" spans="1:7" s="24" customFormat="1" x14ac:dyDescent="0.25">
      <c r="A10" s="139" t="s">
        <v>432</v>
      </c>
      <c r="B10" s="149">
        <v>55530488</v>
      </c>
      <c r="C10" s="149">
        <v>0</v>
      </c>
      <c r="D10" s="150">
        <f>B10+C10</f>
        <v>55530488</v>
      </c>
      <c r="E10" s="149">
        <v>51481044.359999999</v>
      </c>
      <c r="F10" s="149">
        <v>48690378.380000003</v>
      </c>
      <c r="G10" s="150">
        <f>D10-E10</f>
        <v>4049443.6400000006</v>
      </c>
    </row>
    <row r="11" spans="1:7" s="24" customFormat="1" x14ac:dyDescent="0.25">
      <c r="A11" s="139" t="s">
        <v>433</v>
      </c>
      <c r="B11" s="149">
        <v>0</v>
      </c>
      <c r="C11" s="149">
        <v>4811022.38</v>
      </c>
      <c r="D11" s="150">
        <f t="shared" ref="D11" si="0">B11+C11</f>
        <v>4811022.38</v>
      </c>
      <c r="E11" s="149">
        <v>0</v>
      </c>
      <c r="F11" s="149">
        <v>0</v>
      </c>
      <c r="G11" s="150">
        <f t="shared" ref="G11" si="1">D11-E11</f>
        <v>4811022.38</v>
      </c>
    </row>
    <row r="12" spans="1:7" s="24" customFormat="1" x14ac:dyDescent="0.25">
      <c r="A12" s="139" t="s">
        <v>434</v>
      </c>
      <c r="B12" s="60"/>
      <c r="C12" s="60"/>
      <c r="D12" s="60"/>
      <c r="E12" s="60"/>
      <c r="F12" s="60"/>
      <c r="G12" s="77">
        <f t="shared" ref="G12:G17" si="2">D12-E12</f>
        <v>0</v>
      </c>
    </row>
    <row r="13" spans="1:7" s="24" customFormat="1" x14ac:dyDescent="0.25">
      <c r="A13" s="139" t="s">
        <v>435</v>
      </c>
      <c r="B13" s="60"/>
      <c r="C13" s="60"/>
      <c r="D13" s="60"/>
      <c r="E13" s="60"/>
      <c r="F13" s="60"/>
      <c r="G13" s="77">
        <f t="shared" si="2"/>
        <v>0</v>
      </c>
    </row>
    <row r="14" spans="1:7" s="24" customFormat="1" x14ac:dyDescent="0.25">
      <c r="A14" s="139" t="s">
        <v>436</v>
      </c>
      <c r="B14" s="60"/>
      <c r="C14" s="60"/>
      <c r="D14" s="60"/>
      <c r="E14" s="60"/>
      <c r="F14" s="60"/>
      <c r="G14" s="77">
        <f t="shared" si="2"/>
        <v>0</v>
      </c>
    </row>
    <row r="15" spans="1:7" s="24" customFormat="1" x14ac:dyDescent="0.25">
      <c r="A15" s="139" t="s">
        <v>437</v>
      </c>
      <c r="B15" s="60"/>
      <c r="C15" s="60"/>
      <c r="D15" s="60"/>
      <c r="E15" s="60"/>
      <c r="F15" s="60"/>
      <c r="G15" s="77">
        <f t="shared" si="2"/>
        <v>0</v>
      </c>
    </row>
    <row r="16" spans="1:7" s="24" customFormat="1" x14ac:dyDescent="0.25">
      <c r="A16" s="139" t="s">
        <v>438</v>
      </c>
      <c r="B16" s="60"/>
      <c r="C16" s="60"/>
      <c r="D16" s="60"/>
      <c r="E16" s="60"/>
      <c r="F16" s="60"/>
      <c r="G16" s="77">
        <f t="shared" si="2"/>
        <v>0</v>
      </c>
    </row>
    <row r="17" spans="1:7" s="24" customFormat="1" x14ac:dyDescent="0.25">
      <c r="A17" s="139" t="s">
        <v>439</v>
      </c>
      <c r="B17" s="60"/>
      <c r="C17" s="60"/>
      <c r="D17" s="60"/>
      <c r="E17" s="60"/>
      <c r="F17" s="60"/>
      <c r="G17" s="77">
        <f t="shared" si="2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38600000</v>
      </c>
      <c r="C19" s="61">
        <f>SUM(C20:GASTO_E_FIN_02)</f>
        <v>35423762.109999999</v>
      </c>
      <c r="D19" s="61">
        <f>SUM(D20:GASTO_E_FIN_03)</f>
        <v>74023762.109999999</v>
      </c>
      <c r="E19" s="61">
        <f>SUM(E20:GASTO_E_FIN_04)</f>
        <v>67830825.030000001</v>
      </c>
      <c r="F19" s="61">
        <f>SUM(F20:GASTO_E_FIN_05)</f>
        <v>52727340.109999999</v>
      </c>
      <c r="G19" s="61">
        <f>SUM(G20:GASTO_E_FIN_06)</f>
        <v>6192937.0799999982</v>
      </c>
    </row>
    <row r="20" spans="1:7" s="24" customFormat="1" x14ac:dyDescent="0.25">
      <c r="A20" s="139" t="s">
        <v>432</v>
      </c>
      <c r="B20" s="149">
        <v>38600000</v>
      </c>
      <c r="C20" s="149">
        <v>35423762.109999999</v>
      </c>
      <c r="D20" s="150">
        <f t="shared" ref="D20" si="3">B20+C20</f>
        <v>74023762.109999999</v>
      </c>
      <c r="E20" s="149">
        <v>67830825.030000001</v>
      </c>
      <c r="F20" s="149">
        <v>52727340.109999999</v>
      </c>
      <c r="G20" s="150">
        <f t="shared" ref="G20" si="4">D20-E20</f>
        <v>6192937.0799999982</v>
      </c>
    </row>
    <row r="21" spans="1:7" s="24" customFormat="1" x14ac:dyDescent="0.25">
      <c r="A21" s="139" t="s">
        <v>433</v>
      </c>
      <c r="B21" s="60"/>
      <c r="C21" s="60"/>
      <c r="D21" s="60"/>
      <c r="E21" s="60"/>
      <c r="F21" s="60"/>
      <c r="G21" s="60">
        <f t="shared" ref="G21:G27" si="5">D21-E21</f>
        <v>0</v>
      </c>
    </row>
    <row r="22" spans="1:7" s="24" customFormat="1" x14ac:dyDescent="0.25">
      <c r="A22" s="139" t="s">
        <v>434</v>
      </c>
      <c r="B22" s="60"/>
      <c r="C22" s="60"/>
      <c r="D22" s="60"/>
      <c r="E22" s="60"/>
      <c r="F22" s="60"/>
      <c r="G22" s="60">
        <f t="shared" si="5"/>
        <v>0</v>
      </c>
    </row>
    <row r="23" spans="1:7" s="24" customFormat="1" x14ac:dyDescent="0.25">
      <c r="A23" s="139" t="s">
        <v>435</v>
      </c>
      <c r="B23" s="60"/>
      <c r="C23" s="60"/>
      <c r="D23" s="60"/>
      <c r="E23" s="60"/>
      <c r="F23" s="60"/>
      <c r="G23" s="60">
        <f t="shared" si="5"/>
        <v>0</v>
      </c>
    </row>
    <row r="24" spans="1:7" s="24" customFormat="1" x14ac:dyDescent="0.25">
      <c r="A24" s="139" t="s">
        <v>436</v>
      </c>
      <c r="B24" s="60"/>
      <c r="C24" s="60"/>
      <c r="D24" s="60"/>
      <c r="E24" s="60"/>
      <c r="F24" s="60"/>
      <c r="G24" s="60">
        <f t="shared" si="5"/>
        <v>0</v>
      </c>
    </row>
    <row r="25" spans="1:7" s="24" customFormat="1" x14ac:dyDescent="0.25">
      <c r="A25" s="139" t="s">
        <v>437</v>
      </c>
      <c r="B25" s="60"/>
      <c r="C25" s="60"/>
      <c r="D25" s="60"/>
      <c r="E25" s="60"/>
      <c r="F25" s="60"/>
      <c r="G25" s="60">
        <f t="shared" si="5"/>
        <v>0</v>
      </c>
    </row>
    <row r="26" spans="1:7" s="24" customFormat="1" x14ac:dyDescent="0.25">
      <c r="A26" s="139" t="s">
        <v>438</v>
      </c>
      <c r="B26" s="60"/>
      <c r="C26" s="60"/>
      <c r="D26" s="60"/>
      <c r="E26" s="60"/>
      <c r="F26" s="60"/>
      <c r="G26" s="60">
        <f t="shared" si="5"/>
        <v>0</v>
      </c>
    </row>
    <row r="27" spans="1:7" s="24" customFormat="1" x14ac:dyDescent="0.25">
      <c r="A27" s="139" t="s">
        <v>439</v>
      </c>
      <c r="B27" s="60"/>
      <c r="C27" s="60"/>
      <c r="D27" s="60"/>
      <c r="E27" s="60"/>
      <c r="F27" s="60"/>
      <c r="G27" s="60">
        <f t="shared" si="5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94130488</v>
      </c>
      <c r="C29" s="61">
        <f>GASTO_NE_T2+GASTO_E_T2</f>
        <v>40234784.490000002</v>
      </c>
      <c r="D29" s="61">
        <f>GASTO_NE_T3+GASTO_E_T3</f>
        <v>134365272.49000001</v>
      </c>
      <c r="E29" s="61">
        <f>GASTO_NE_T4+GASTO_E_T4</f>
        <v>119311869.39</v>
      </c>
      <c r="F29" s="61">
        <f>GASTO_NE_T5+GASTO_E_T5</f>
        <v>101417718.49000001</v>
      </c>
      <c r="G29" s="61">
        <f>GASTO_NE_T6+GASTO_E_T6</f>
        <v>15053403.099999998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55530488</v>
      </c>
      <c r="Q2" s="18">
        <f>GASTO_NE_T2</f>
        <v>4811022.38</v>
      </c>
      <c r="R2" s="18">
        <f>GASTO_NE_T3</f>
        <v>60341510.380000003</v>
      </c>
      <c r="S2" s="18">
        <f>GASTO_NE_T4</f>
        <v>51481044.359999999</v>
      </c>
      <c r="T2" s="18">
        <f>GASTO_NE_T5</f>
        <v>48690378.380000003</v>
      </c>
      <c r="U2" s="18">
        <f>GASTO_NE_T6</f>
        <v>8860466.0199999996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38600000</v>
      </c>
      <c r="Q3" s="18">
        <f>GASTO_E_T2</f>
        <v>35423762.109999999</v>
      </c>
      <c r="R3" s="18">
        <f>GASTO_E_T3</f>
        <v>74023762.109999999</v>
      </c>
      <c r="S3" s="18">
        <f>GASTO_E_T4</f>
        <v>67830825.030000001</v>
      </c>
      <c r="T3" s="18">
        <f>GASTO_E_T5</f>
        <v>52727340.109999999</v>
      </c>
      <c r="U3" s="18">
        <f>GASTO_E_T6</f>
        <v>6192937.0799999982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94130488</v>
      </c>
      <c r="Q4" s="18">
        <f>TOTAL_E_T2</f>
        <v>40234784.490000002</v>
      </c>
      <c r="R4" s="18">
        <f>TOTAL_E_T3</f>
        <v>134365272.49000001</v>
      </c>
      <c r="S4" s="18">
        <f>TOTAL_E_T4</f>
        <v>119311869.39</v>
      </c>
      <c r="T4" s="18">
        <f>TOTAL_E_T5</f>
        <v>101417718.49000001</v>
      </c>
      <c r="U4" s="18">
        <f>TOTAL_E_T6</f>
        <v>15053403.099999998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78"/>
  <sheetViews>
    <sheetView showGridLines="0" topLeftCell="A67" zoomScale="80" zoomScaleNormal="80" workbookViewId="0">
      <selection activeCell="B73" sqref="B73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4" width="10.85546875" hidden="1"/>
  </cols>
  <sheetData>
    <row r="1" spans="1:7" ht="57.75" customHeight="1" x14ac:dyDescent="0.25">
      <c r="A1" s="196" t="s">
        <v>3289</v>
      </c>
      <c r="B1" s="197"/>
      <c r="C1" s="197"/>
      <c r="D1" s="197"/>
      <c r="E1" s="197"/>
      <c r="F1" s="197"/>
      <c r="G1" s="197"/>
    </row>
    <row r="2" spans="1:7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3"/>
    </row>
    <row r="3" spans="1:7" x14ac:dyDescent="0.25">
      <c r="A3" s="174" t="s">
        <v>396</v>
      </c>
      <c r="B3" s="175"/>
      <c r="C3" s="175"/>
      <c r="D3" s="175"/>
      <c r="E3" s="175"/>
      <c r="F3" s="175"/>
      <c r="G3" s="176"/>
    </row>
    <row r="4" spans="1:7" x14ac:dyDescent="0.25">
      <c r="A4" s="174" t="s">
        <v>397</v>
      </c>
      <c r="B4" s="175"/>
      <c r="C4" s="175"/>
      <c r="D4" s="175"/>
      <c r="E4" s="175"/>
      <c r="F4" s="175"/>
      <c r="G4" s="176"/>
    </row>
    <row r="5" spans="1:7" x14ac:dyDescent="0.25">
      <c r="A5" s="177" t="str">
        <f>TRIMESTRE</f>
        <v>Del 1 de enero al 31 de diciembre de 2020 (b)</v>
      </c>
      <c r="B5" s="178"/>
      <c r="C5" s="178"/>
      <c r="D5" s="178"/>
      <c r="E5" s="178"/>
      <c r="F5" s="178"/>
      <c r="G5" s="179"/>
    </row>
    <row r="6" spans="1:7" x14ac:dyDescent="0.25">
      <c r="A6" s="180" t="s">
        <v>118</v>
      </c>
      <c r="B6" s="181"/>
      <c r="C6" s="181"/>
      <c r="D6" s="181"/>
      <c r="E6" s="181"/>
      <c r="F6" s="181"/>
      <c r="G6" s="182"/>
    </row>
    <row r="7" spans="1:7" x14ac:dyDescent="0.25">
      <c r="A7" s="175" t="s">
        <v>0</v>
      </c>
      <c r="B7" s="180" t="s">
        <v>279</v>
      </c>
      <c r="C7" s="181"/>
      <c r="D7" s="181"/>
      <c r="E7" s="181"/>
      <c r="F7" s="182"/>
      <c r="G7" s="192" t="s">
        <v>3286</v>
      </c>
    </row>
    <row r="8" spans="1:7" ht="30.75" customHeight="1" x14ac:dyDescent="0.25">
      <c r="A8" s="175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91"/>
    </row>
    <row r="9" spans="1:7" x14ac:dyDescent="0.25">
      <c r="A9" s="52" t="s">
        <v>363</v>
      </c>
      <c r="B9" s="70">
        <f t="shared" ref="B9:G9" si="0">SUM(B10,B19,B27,B37)</f>
        <v>55530488</v>
      </c>
      <c r="C9" s="70">
        <f t="shared" si="0"/>
        <v>4811022.38</v>
      </c>
      <c r="D9" s="70">
        <f t="shared" si="0"/>
        <v>60341510.380000003</v>
      </c>
      <c r="E9" s="70">
        <f t="shared" si="0"/>
        <v>51481044.359999999</v>
      </c>
      <c r="F9" s="70">
        <f t="shared" si="0"/>
        <v>48690378.380000003</v>
      </c>
      <c r="G9" s="70">
        <f t="shared" si="0"/>
        <v>8860466.0199999996</v>
      </c>
    </row>
    <row r="10" spans="1:7" x14ac:dyDescent="0.25">
      <c r="A10" s="53" t="s">
        <v>364</v>
      </c>
      <c r="B10" s="71">
        <f t="shared" ref="B10:G10" si="1">SUM(B11:B18)</f>
        <v>33496277.620000001</v>
      </c>
      <c r="C10" s="71">
        <f t="shared" si="1"/>
        <v>286376.73999999993</v>
      </c>
      <c r="D10" s="71">
        <f t="shared" si="1"/>
        <v>33782654.359999999</v>
      </c>
      <c r="E10" s="71">
        <f t="shared" si="1"/>
        <v>28900412.41</v>
      </c>
      <c r="F10" s="71">
        <f t="shared" si="1"/>
        <v>27353744.640000001</v>
      </c>
      <c r="G10" s="71">
        <f t="shared" si="1"/>
        <v>4882241.95</v>
      </c>
    </row>
    <row r="11" spans="1:7" x14ac:dyDescent="0.25">
      <c r="A11" s="63" t="s">
        <v>365</v>
      </c>
      <c r="B11" s="163">
        <v>6799464.7800000003</v>
      </c>
      <c r="C11" s="163">
        <v>131252.71</v>
      </c>
      <c r="D11" s="164">
        <f>B11+C11</f>
        <v>6930717.4900000002</v>
      </c>
      <c r="E11" s="163">
        <v>6523855.9500000002</v>
      </c>
      <c r="F11" s="163">
        <v>6373181.2400000002</v>
      </c>
      <c r="G11" s="164">
        <f>D11-E11</f>
        <v>406861.54000000004</v>
      </c>
    </row>
    <row r="12" spans="1:7" x14ac:dyDescent="0.25">
      <c r="A12" s="63" t="s">
        <v>366</v>
      </c>
      <c r="B12" s="164"/>
      <c r="C12" s="164"/>
      <c r="D12" s="164">
        <f t="shared" ref="D12:D18" si="2">B12+C12</f>
        <v>0</v>
      </c>
      <c r="E12" s="164"/>
      <c r="F12" s="164"/>
      <c r="G12" s="164">
        <f t="shared" ref="G12:G18" si="3">D12-E12</f>
        <v>0</v>
      </c>
    </row>
    <row r="13" spans="1:7" x14ac:dyDescent="0.25">
      <c r="A13" s="63" t="s">
        <v>367</v>
      </c>
      <c r="B13" s="163">
        <v>14430925.17</v>
      </c>
      <c r="C13" s="163">
        <v>-1844008.09</v>
      </c>
      <c r="D13" s="164">
        <f t="shared" si="2"/>
        <v>12586917.08</v>
      </c>
      <c r="E13" s="163">
        <v>10110799.83</v>
      </c>
      <c r="F13" s="163">
        <v>9929263.0800000001</v>
      </c>
      <c r="G13" s="164">
        <f t="shared" si="3"/>
        <v>2476117.25</v>
      </c>
    </row>
    <row r="14" spans="1:7" x14ac:dyDescent="0.25">
      <c r="A14" s="63" t="s">
        <v>368</v>
      </c>
      <c r="B14" s="164"/>
      <c r="C14" s="164"/>
      <c r="D14" s="164">
        <f t="shared" si="2"/>
        <v>0</v>
      </c>
      <c r="E14" s="164"/>
      <c r="F14" s="164"/>
      <c r="G14" s="164">
        <f t="shared" si="3"/>
        <v>0</v>
      </c>
    </row>
    <row r="15" spans="1:7" x14ac:dyDescent="0.25">
      <c r="A15" s="63" t="s">
        <v>369</v>
      </c>
      <c r="B15" s="163">
        <v>7656417.1399999997</v>
      </c>
      <c r="C15" s="163">
        <v>672819.74</v>
      </c>
      <c r="D15" s="164">
        <f t="shared" si="2"/>
        <v>8329236.8799999999</v>
      </c>
      <c r="E15" s="163">
        <v>7094385.2599999998</v>
      </c>
      <c r="F15" s="163">
        <v>6721489.04</v>
      </c>
      <c r="G15" s="164">
        <f t="shared" si="3"/>
        <v>1234851.6200000001</v>
      </c>
    </row>
    <row r="16" spans="1:7" x14ac:dyDescent="0.25">
      <c r="A16" s="63" t="s">
        <v>370</v>
      </c>
      <c r="B16" s="164"/>
      <c r="C16" s="164"/>
      <c r="D16" s="164">
        <f t="shared" si="2"/>
        <v>0</v>
      </c>
      <c r="E16" s="164"/>
      <c r="F16" s="164"/>
      <c r="G16" s="164">
        <f t="shared" si="3"/>
        <v>0</v>
      </c>
    </row>
    <row r="17" spans="1:7" x14ac:dyDescent="0.25">
      <c r="A17" s="63" t="s">
        <v>371</v>
      </c>
      <c r="B17" s="163">
        <v>1879894.82</v>
      </c>
      <c r="C17" s="163">
        <v>1002617.8</v>
      </c>
      <c r="D17" s="164">
        <f t="shared" si="2"/>
        <v>2882512.62</v>
      </c>
      <c r="E17" s="163">
        <v>2383808.4900000002</v>
      </c>
      <c r="F17" s="163">
        <v>1731317.57</v>
      </c>
      <c r="G17" s="164">
        <f t="shared" si="3"/>
        <v>498704.12999999989</v>
      </c>
    </row>
    <row r="18" spans="1:7" x14ac:dyDescent="0.25">
      <c r="A18" s="63" t="s">
        <v>372</v>
      </c>
      <c r="B18" s="163">
        <v>2729575.71</v>
      </c>
      <c r="C18" s="163">
        <v>323694.58</v>
      </c>
      <c r="D18" s="164">
        <f t="shared" si="2"/>
        <v>3053270.29</v>
      </c>
      <c r="E18" s="163">
        <v>2787562.88</v>
      </c>
      <c r="F18" s="163">
        <v>2598493.71</v>
      </c>
      <c r="G18" s="164">
        <f t="shared" si="3"/>
        <v>265707.41000000015</v>
      </c>
    </row>
    <row r="19" spans="1:7" x14ac:dyDescent="0.25">
      <c r="A19" s="53" t="s">
        <v>373</v>
      </c>
      <c r="B19" s="71">
        <f t="shared" ref="B19:G19" si="4">SUM(B20:B26)</f>
        <v>20655798.239999998</v>
      </c>
      <c r="C19" s="71">
        <f t="shared" si="4"/>
        <v>4144217.4899999998</v>
      </c>
      <c r="D19" s="71">
        <f t="shared" si="4"/>
        <v>24800015.73</v>
      </c>
      <c r="E19" s="71">
        <f t="shared" si="4"/>
        <v>21224415.169999998</v>
      </c>
      <c r="F19" s="71">
        <f t="shared" si="4"/>
        <v>20121648.59</v>
      </c>
      <c r="G19" s="71">
        <f t="shared" si="4"/>
        <v>3575600.5599999996</v>
      </c>
    </row>
    <row r="20" spans="1:7" x14ac:dyDescent="0.25">
      <c r="A20" s="63" t="s">
        <v>374</v>
      </c>
      <c r="B20" s="163">
        <v>757250.18</v>
      </c>
      <c r="C20" s="163">
        <v>8411.84</v>
      </c>
      <c r="D20" s="164">
        <f t="shared" ref="D20:D26" si="5">B20+C20</f>
        <v>765662.02</v>
      </c>
      <c r="E20" s="163">
        <v>602609.29</v>
      </c>
      <c r="F20" s="163">
        <v>553055.02</v>
      </c>
      <c r="G20" s="164">
        <f t="shared" ref="G20:G26" si="6">D20-E20</f>
        <v>163052.72999999998</v>
      </c>
    </row>
    <row r="21" spans="1:7" x14ac:dyDescent="0.25">
      <c r="A21" s="63" t="s">
        <v>375</v>
      </c>
      <c r="B21" s="163">
        <v>12344971.83</v>
      </c>
      <c r="C21" s="163">
        <v>4719477.74</v>
      </c>
      <c r="D21" s="164">
        <f t="shared" si="5"/>
        <v>17064449.57</v>
      </c>
      <c r="E21" s="163">
        <v>14382043.07</v>
      </c>
      <c r="F21" s="163">
        <v>13615595.07</v>
      </c>
      <c r="G21" s="164">
        <f t="shared" si="6"/>
        <v>2682406.5</v>
      </c>
    </row>
    <row r="22" spans="1:7" x14ac:dyDescent="0.25">
      <c r="A22" s="63" t="s">
        <v>376</v>
      </c>
      <c r="B22" s="163">
        <v>0</v>
      </c>
      <c r="C22" s="163">
        <v>259112.91</v>
      </c>
      <c r="D22" s="164">
        <f t="shared" si="5"/>
        <v>259112.91</v>
      </c>
      <c r="E22" s="163">
        <v>244972.36</v>
      </c>
      <c r="F22" s="163">
        <v>244972.36</v>
      </c>
      <c r="G22" s="164">
        <f t="shared" si="6"/>
        <v>14140.550000000017</v>
      </c>
    </row>
    <row r="23" spans="1:7" x14ac:dyDescent="0.25">
      <c r="A23" s="63" t="s">
        <v>377</v>
      </c>
      <c r="B23" s="163">
        <v>4217919.37</v>
      </c>
      <c r="C23" s="163">
        <v>-1010946.31</v>
      </c>
      <c r="D23" s="164">
        <f t="shared" si="5"/>
        <v>3206973.06</v>
      </c>
      <c r="E23" s="163">
        <v>2644081.66</v>
      </c>
      <c r="F23" s="163">
        <v>2491175.79</v>
      </c>
      <c r="G23" s="164">
        <f t="shared" si="6"/>
        <v>562891.39999999991</v>
      </c>
    </row>
    <row r="24" spans="1:7" x14ac:dyDescent="0.25">
      <c r="A24" s="63" t="s">
        <v>378</v>
      </c>
      <c r="B24" s="163">
        <v>1493242.18</v>
      </c>
      <c r="C24" s="163">
        <v>-44029.99</v>
      </c>
      <c r="D24" s="164">
        <f t="shared" si="5"/>
        <v>1449212.19</v>
      </c>
      <c r="E24" s="163">
        <v>1341200.98</v>
      </c>
      <c r="F24" s="163">
        <v>1229413.96</v>
      </c>
      <c r="G24" s="164">
        <f t="shared" si="6"/>
        <v>108011.20999999996</v>
      </c>
    </row>
    <row r="25" spans="1:7" x14ac:dyDescent="0.25">
      <c r="A25" s="63" t="s">
        <v>379</v>
      </c>
      <c r="B25" s="163">
        <v>1842414.68</v>
      </c>
      <c r="C25" s="163">
        <v>212191.3</v>
      </c>
      <c r="D25" s="164">
        <f t="shared" si="5"/>
        <v>2054605.98</v>
      </c>
      <c r="E25" s="163">
        <v>2009507.81</v>
      </c>
      <c r="F25" s="163">
        <v>1987436.39</v>
      </c>
      <c r="G25" s="164">
        <f t="shared" si="6"/>
        <v>45098.169999999925</v>
      </c>
    </row>
    <row r="26" spans="1:7" x14ac:dyDescent="0.25">
      <c r="A26" s="63" t="s">
        <v>380</v>
      </c>
      <c r="B26" s="164"/>
      <c r="C26" s="164"/>
      <c r="D26" s="164">
        <f t="shared" si="5"/>
        <v>0</v>
      </c>
      <c r="E26" s="164"/>
      <c r="F26" s="164"/>
      <c r="G26" s="164">
        <f t="shared" si="6"/>
        <v>0</v>
      </c>
    </row>
    <row r="27" spans="1:7" x14ac:dyDescent="0.25">
      <c r="A27" s="53" t="s">
        <v>381</v>
      </c>
      <c r="B27" s="71">
        <f t="shared" ref="B27:G27" si="7">SUM(B28:B36)</f>
        <v>1378412.1400000001</v>
      </c>
      <c r="C27" s="71">
        <f t="shared" si="7"/>
        <v>380428.15</v>
      </c>
      <c r="D27" s="71">
        <f t="shared" si="7"/>
        <v>1758840.29</v>
      </c>
      <c r="E27" s="71">
        <f t="shared" si="7"/>
        <v>1356216.7800000003</v>
      </c>
      <c r="F27" s="71">
        <f t="shared" si="7"/>
        <v>1214985.1499999999</v>
      </c>
      <c r="G27" s="71">
        <f t="shared" si="7"/>
        <v>402623.51</v>
      </c>
    </row>
    <row r="28" spans="1:7" x14ac:dyDescent="0.25">
      <c r="A28" s="69" t="s">
        <v>382</v>
      </c>
      <c r="B28" s="163">
        <v>315672.42</v>
      </c>
      <c r="C28" s="163">
        <v>7577.47</v>
      </c>
      <c r="D28" s="164">
        <f t="shared" ref="D28:D36" si="8">B28+C28</f>
        <v>323249.88999999996</v>
      </c>
      <c r="E28" s="163">
        <v>266597.96000000002</v>
      </c>
      <c r="F28" s="163">
        <v>245424.5</v>
      </c>
      <c r="G28" s="164">
        <f t="shared" ref="G28:G36" si="9">D28-E28</f>
        <v>56651.929999999935</v>
      </c>
    </row>
    <row r="29" spans="1:7" x14ac:dyDescent="0.25">
      <c r="A29" s="63" t="s">
        <v>383</v>
      </c>
      <c r="B29" s="163">
        <v>449389.84</v>
      </c>
      <c r="C29" s="163">
        <v>512864.76</v>
      </c>
      <c r="D29" s="164">
        <f t="shared" si="8"/>
        <v>962254.60000000009</v>
      </c>
      <c r="E29" s="163">
        <v>769152.42</v>
      </c>
      <c r="F29" s="163">
        <v>674908.29</v>
      </c>
      <c r="G29" s="164">
        <f t="shared" si="9"/>
        <v>193102.18000000005</v>
      </c>
    </row>
    <row r="30" spans="1:7" x14ac:dyDescent="0.25">
      <c r="A30" s="63" t="s">
        <v>384</v>
      </c>
      <c r="B30" s="164"/>
      <c r="C30" s="164"/>
      <c r="D30" s="164">
        <f t="shared" si="8"/>
        <v>0</v>
      </c>
      <c r="E30" s="164"/>
      <c r="F30" s="164"/>
      <c r="G30" s="164">
        <f t="shared" si="9"/>
        <v>0</v>
      </c>
    </row>
    <row r="31" spans="1:7" x14ac:dyDescent="0.25">
      <c r="A31" s="63" t="s">
        <v>385</v>
      </c>
      <c r="B31" s="164"/>
      <c r="C31" s="164"/>
      <c r="D31" s="164">
        <f t="shared" si="8"/>
        <v>0</v>
      </c>
      <c r="E31" s="164"/>
      <c r="F31" s="164"/>
      <c r="G31" s="164">
        <f t="shared" si="9"/>
        <v>0</v>
      </c>
    </row>
    <row r="32" spans="1:7" x14ac:dyDescent="0.25">
      <c r="A32" s="63" t="s">
        <v>386</v>
      </c>
      <c r="B32" s="164"/>
      <c r="C32" s="164"/>
      <c r="D32" s="164">
        <f t="shared" si="8"/>
        <v>0</v>
      </c>
      <c r="E32" s="164"/>
      <c r="F32" s="164"/>
      <c r="G32" s="164">
        <f t="shared" si="9"/>
        <v>0</v>
      </c>
    </row>
    <row r="33" spans="1:7" x14ac:dyDescent="0.25">
      <c r="A33" s="63" t="s">
        <v>387</v>
      </c>
      <c r="B33" s="164"/>
      <c r="C33" s="164"/>
      <c r="D33" s="164">
        <f t="shared" si="8"/>
        <v>0</v>
      </c>
      <c r="E33" s="164"/>
      <c r="F33" s="164"/>
      <c r="G33" s="164">
        <f t="shared" si="9"/>
        <v>0</v>
      </c>
    </row>
    <row r="34" spans="1:7" x14ac:dyDescent="0.25">
      <c r="A34" s="63" t="s">
        <v>388</v>
      </c>
      <c r="B34" s="163">
        <v>613349.88</v>
      </c>
      <c r="C34" s="163">
        <v>-140014.07999999999</v>
      </c>
      <c r="D34" s="164">
        <f t="shared" si="8"/>
        <v>473335.80000000005</v>
      </c>
      <c r="E34" s="163">
        <v>320466.40000000002</v>
      </c>
      <c r="F34" s="163">
        <v>294652.36</v>
      </c>
      <c r="G34" s="164">
        <f t="shared" si="9"/>
        <v>152869.40000000002</v>
      </c>
    </row>
    <row r="35" spans="1:7" x14ac:dyDescent="0.25">
      <c r="A35" s="63" t="s">
        <v>389</v>
      </c>
      <c r="B35" s="164"/>
      <c r="C35" s="164"/>
      <c r="D35" s="164">
        <f t="shared" si="8"/>
        <v>0</v>
      </c>
      <c r="E35" s="164"/>
      <c r="F35" s="164"/>
      <c r="G35" s="164">
        <f t="shared" si="9"/>
        <v>0</v>
      </c>
    </row>
    <row r="36" spans="1:7" x14ac:dyDescent="0.25">
      <c r="A36" s="63" t="s">
        <v>390</v>
      </c>
      <c r="B36" s="164"/>
      <c r="C36" s="164"/>
      <c r="D36" s="164">
        <f t="shared" si="8"/>
        <v>0</v>
      </c>
      <c r="E36" s="164"/>
      <c r="F36" s="164"/>
      <c r="G36" s="164">
        <f t="shared" si="9"/>
        <v>0</v>
      </c>
    </row>
    <row r="37" spans="1:7" ht="30" x14ac:dyDescent="0.25">
      <c r="A37" s="64" t="s">
        <v>398</v>
      </c>
      <c r="B37" s="71">
        <f t="shared" ref="B37:G37" si="10">SUM(B38:B41)</f>
        <v>0</v>
      </c>
      <c r="C37" s="71">
        <f t="shared" si="10"/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 t="shared" si="10"/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>D40-E40</f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11">SUM(B44,B53,B61,B71)</f>
        <v>38600000</v>
      </c>
      <c r="C43" s="73">
        <f t="shared" si="11"/>
        <v>35423762.109999999</v>
      </c>
      <c r="D43" s="73">
        <f t="shared" si="11"/>
        <v>74023762.109999999</v>
      </c>
      <c r="E43" s="73">
        <f t="shared" si="11"/>
        <v>67830825.030000001</v>
      </c>
      <c r="F43" s="73">
        <f t="shared" si="11"/>
        <v>66498719.949999996</v>
      </c>
      <c r="G43" s="73">
        <f t="shared" si="11"/>
        <v>6192937.0800000057</v>
      </c>
    </row>
    <row r="44" spans="1:7" x14ac:dyDescent="0.25">
      <c r="A44" s="53" t="s">
        <v>430</v>
      </c>
      <c r="B44" s="72">
        <f t="shared" ref="B44:G44" si="12">SUM(B45:B52)</f>
        <v>8366802.1600000001</v>
      </c>
      <c r="C44" s="72">
        <f t="shared" si="12"/>
        <v>-1162059.31</v>
      </c>
      <c r="D44" s="72">
        <f t="shared" si="12"/>
        <v>7204742.8499999996</v>
      </c>
      <c r="E44" s="72">
        <f t="shared" si="12"/>
        <v>7204742.8499999996</v>
      </c>
      <c r="F44" s="72">
        <f t="shared" si="12"/>
        <v>7128327.1500000004</v>
      </c>
      <c r="G44" s="72">
        <f t="shared" si="12"/>
        <v>0</v>
      </c>
    </row>
    <row r="45" spans="1:7" x14ac:dyDescent="0.25">
      <c r="A45" s="69" t="s">
        <v>365</v>
      </c>
      <c r="B45" s="164"/>
      <c r="C45" s="164"/>
      <c r="D45" s="164">
        <f t="shared" ref="D45:D52" si="13">B45+C45</f>
        <v>0</v>
      </c>
      <c r="E45" s="164"/>
      <c r="F45" s="164"/>
      <c r="G45" s="164">
        <f t="shared" ref="G45:G52" si="14">D45-E45</f>
        <v>0</v>
      </c>
    </row>
    <row r="46" spans="1:7" x14ac:dyDescent="0.25">
      <c r="A46" s="69" t="s">
        <v>366</v>
      </c>
      <c r="B46" s="164"/>
      <c r="C46" s="164"/>
      <c r="D46" s="164">
        <f t="shared" si="13"/>
        <v>0</v>
      </c>
      <c r="E46" s="164"/>
      <c r="F46" s="164"/>
      <c r="G46" s="164">
        <f t="shared" si="14"/>
        <v>0</v>
      </c>
    </row>
    <row r="47" spans="1:7" x14ac:dyDescent="0.25">
      <c r="A47" s="69" t="s">
        <v>367</v>
      </c>
      <c r="B47" s="164"/>
      <c r="C47" s="164"/>
      <c r="D47" s="164">
        <f t="shared" si="13"/>
        <v>0</v>
      </c>
      <c r="E47" s="164"/>
      <c r="F47" s="164"/>
      <c r="G47" s="164">
        <f t="shared" si="14"/>
        <v>0</v>
      </c>
    </row>
    <row r="48" spans="1:7" x14ac:dyDescent="0.25">
      <c r="A48" s="69" t="s">
        <v>368</v>
      </c>
      <c r="B48" s="164"/>
      <c r="C48" s="164"/>
      <c r="D48" s="164">
        <f t="shared" si="13"/>
        <v>0</v>
      </c>
      <c r="E48" s="164"/>
      <c r="F48" s="164"/>
      <c r="G48" s="164">
        <f t="shared" si="14"/>
        <v>0</v>
      </c>
    </row>
    <row r="49" spans="1:7" x14ac:dyDescent="0.25">
      <c r="A49" s="69" t="s">
        <v>369</v>
      </c>
      <c r="B49" s="163">
        <v>511000</v>
      </c>
      <c r="C49" s="163">
        <v>-511000</v>
      </c>
      <c r="D49" s="164">
        <f t="shared" si="13"/>
        <v>0</v>
      </c>
      <c r="E49" s="163">
        <v>0</v>
      </c>
      <c r="F49" s="163">
        <v>0</v>
      </c>
      <c r="G49" s="164">
        <f t="shared" si="14"/>
        <v>0</v>
      </c>
    </row>
    <row r="50" spans="1:7" x14ac:dyDescent="0.25">
      <c r="A50" s="69" t="s">
        <v>370</v>
      </c>
      <c r="B50" s="164"/>
      <c r="C50" s="164"/>
      <c r="D50" s="164">
        <f t="shared" si="13"/>
        <v>0</v>
      </c>
      <c r="E50" s="164"/>
      <c r="F50" s="164"/>
      <c r="G50" s="164">
        <f t="shared" si="14"/>
        <v>0</v>
      </c>
    </row>
    <row r="51" spans="1:7" x14ac:dyDescent="0.25">
      <c r="A51" s="69" t="s">
        <v>371</v>
      </c>
      <c r="B51" s="163">
        <v>7855802.1600000001</v>
      </c>
      <c r="C51" s="163">
        <v>-651059.31000000006</v>
      </c>
      <c r="D51" s="164">
        <f t="shared" si="13"/>
        <v>7204742.8499999996</v>
      </c>
      <c r="E51" s="163">
        <v>7204742.8499999996</v>
      </c>
      <c r="F51" s="163">
        <v>7128327.1500000004</v>
      </c>
      <c r="G51" s="164">
        <f t="shared" si="14"/>
        <v>0</v>
      </c>
    </row>
    <row r="52" spans="1:7" x14ac:dyDescent="0.25">
      <c r="A52" s="69" t="s">
        <v>372</v>
      </c>
      <c r="B52" s="164"/>
      <c r="C52" s="164"/>
      <c r="D52" s="164">
        <f t="shared" si="13"/>
        <v>0</v>
      </c>
      <c r="E52" s="164"/>
      <c r="F52" s="164"/>
      <c r="G52" s="164">
        <f t="shared" si="14"/>
        <v>0</v>
      </c>
    </row>
    <row r="53" spans="1:7" x14ac:dyDescent="0.25">
      <c r="A53" s="53" t="s">
        <v>373</v>
      </c>
      <c r="B53" s="71">
        <f t="shared" ref="B53:G53" si="15">SUM(B54:B60)</f>
        <v>30233197.84</v>
      </c>
      <c r="C53" s="71">
        <f t="shared" si="15"/>
        <v>35298695.420000002</v>
      </c>
      <c r="D53" s="71">
        <f t="shared" si="15"/>
        <v>65531893.260000005</v>
      </c>
      <c r="E53" s="71">
        <f t="shared" si="15"/>
        <v>59338956.18</v>
      </c>
      <c r="F53" s="71">
        <f t="shared" si="15"/>
        <v>58771442.799999997</v>
      </c>
      <c r="G53" s="71">
        <f t="shared" si="15"/>
        <v>6192937.0800000057</v>
      </c>
    </row>
    <row r="54" spans="1:7" x14ac:dyDescent="0.25">
      <c r="A54" s="69" t="s">
        <v>374</v>
      </c>
      <c r="B54" s="164"/>
      <c r="C54" s="164"/>
      <c r="D54" s="164">
        <f t="shared" ref="D54:D60" si="16">B54+C54</f>
        <v>0</v>
      </c>
      <c r="E54" s="164"/>
      <c r="F54" s="164"/>
      <c r="G54" s="164">
        <f t="shared" ref="G54:G60" si="17">D54-E54</f>
        <v>0</v>
      </c>
    </row>
    <row r="55" spans="1:7" x14ac:dyDescent="0.25">
      <c r="A55" s="69" t="s">
        <v>375</v>
      </c>
      <c r="B55" s="163">
        <v>30233197.84</v>
      </c>
      <c r="C55" s="163">
        <v>35298695.420000002</v>
      </c>
      <c r="D55" s="164">
        <f t="shared" si="16"/>
        <v>65531893.260000005</v>
      </c>
      <c r="E55" s="163">
        <v>59338956.18</v>
      </c>
      <c r="F55" s="163">
        <v>58771442.799999997</v>
      </c>
      <c r="G55" s="164">
        <f t="shared" si="17"/>
        <v>6192937.0800000057</v>
      </c>
    </row>
    <row r="56" spans="1:7" x14ac:dyDescent="0.25">
      <c r="A56" s="69" t="s">
        <v>376</v>
      </c>
      <c r="B56" s="164"/>
      <c r="C56" s="164"/>
      <c r="D56" s="164">
        <f t="shared" si="16"/>
        <v>0</v>
      </c>
      <c r="E56" s="164"/>
      <c r="F56" s="164"/>
      <c r="G56" s="164">
        <f t="shared" si="17"/>
        <v>0</v>
      </c>
    </row>
    <row r="57" spans="1:7" x14ac:dyDescent="0.25">
      <c r="A57" s="48" t="s">
        <v>377</v>
      </c>
      <c r="B57" s="164"/>
      <c r="C57" s="164"/>
      <c r="D57" s="164">
        <f t="shared" si="16"/>
        <v>0</v>
      </c>
      <c r="E57" s="164"/>
      <c r="F57" s="164"/>
      <c r="G57" s="164">
        <f t="shared" si="17"/>
        <v>0</v>
      </c>
    </row>
    <row r="58" spans="1:7" x14ac:dyDescent="0.25">
      <c r="A58" s="69" t="s">
        <v>378</v>
      </c>
      <c r="B58" s="164"/>
      <c r="C58" s="164"/>
      <c r="D58" s="164">
        <f t="shared" si="16"/>
        <v>0</v>
      </c>
      <c r="E58" s="164"/>
      <c r="F58" s="164"/>
      <c r="G58" s="164">
        <f t="shared" si="17"/>
        <v>0</v>
      </c>
    </row>
    <row r="59" spans="1:7" x14ac:dyDescent="0.25">
      <c r="A59" s="69" t="s">
        <v>379</v>
      </c>
      <c r="B59" s="164"/>
      <c r="C59" s="164"/>
      <c r="D59" s="164">
        <f t="shared" si="16"/>
        <v>0</v>
      </c>
      <c r="E59" s="164"/>
      <c r="F59" s="164"/>
      <c r="G59" s="164">
        <f t="shared" si="17"/>
        <v>0</v>
      </c>
    </row>
    <row r="60" spans="1:7" x14ac:dyDescent="0.25">
      <c r="A60" s="69" t="s">
        <v>380</v>
      </c>
      <c r="B60" s="164"/>
      <c r="C60" s="164"/>
      <c r="D60" s="164">
        <f t="shared" si="16"/>
        <v>0</v>
      </c>
      <c r="E60" s="164"/>
      <c r="F60" s="164"/>
      <c r="G60" s="164">
        <f t="shared" si="17"/>
        <v>0</v>
      </c>
    </row>
    <row r="61" spans="1:7" x14ac:dyDescent="0.25">
      <c r="A61" s="53" t="s">
        <v>381</v>
      </c>
      <c r="B61" s="71">
        <f t="shared" ref="B61:G61" si="18">SUM(B62:B70)</f>
        <v>0</v>
      </c>
      <c r="C61" s="71">
        <f t="shared" si="18"/>
        <v>1287126</v>
      </c>
      <c r="D61" s="71">
        <f t="shared" si="18"/>
        <v>1287126</v>
      </c>
      <c r="E61" s="71">
        <f t="shared" si="18"/>
        <v>1287126</v>
      </c>
      <c r="F61" s="71">
        <f t="shared" si="18"/>
        <v>598950</v>
      </c>
      <c r="G61" s="71">
        <f t="shared" si="18"/>
        <v>0</v>
      </c>
    </row>
    <row r="62" spans="1:7" x14ac:dyDescent="0.25">
      <c r="A62" s="69" t="s">
        <v>382</v>
      </c>
      <c r="B62" s="164"/>
      <c r="C62" s="164"/>
      <c r="D62" s="164">
        <f t="shared" ref="D62:D70" si="19">B62+C62</f>
        <v>0</v>
      </c>
      <c r="E62" s="164"/>
      <c r="F62" s="164"/>
      <c r="G62" s="164">
        <f t="shared" ref="G62:G70" si="20">D62-E62</f>
        <v>0</v>
      </c>
    </row>
    <row r="63" spans="1:7" x14ac:dyDescent="0.25">
      <c r="A63" s="69" t="s">
        <v>383</v>
      </c>
      <c r="B63" s="163">
        <v>0</v>
      </c>
      <c r="C63" s="163">
        <v>1287126</v>
      </c>
      <c r="D63" s="164">
        <f t="shared" si="19"/>
        <v>1287126</v>
      </c>
      <c r="E63" s="163">
        <v>1287126</v>
      </c>
      <c r="F63" s="163">
        <v>598950</v>
      </c>
      <c r="G63" s="164">
        <f t="shared" si="20"/>
        <v>0</v>
      </c>
    </row>
    <row r="64" spans="1:7" x14ac:dyDescent="0.25">
      <c r="A64" s="69" t="s">
        <v>384</v>
      </c>
      <c r="B64" s="164"/>
      <c r="C64" s="164"/>
      <c r="D64" s="164">
        <f t="shared" si="19"/>
        <v>0</v>
      </c>
      <c r="E64" s="164"/>
      <c r="F64" s="164"/>
      <c r="G64" s="164">
        <f t="shared" si="20"/>
        <v>0</v>
      </c>
    </row>
    <row r="65" spans="1:8" x14ac:dyDescent="0.25">
      <c r="A65" s="69" t="s">
        <v>385</v>
      </c>
      <c r="B65" s="164"/>
      <c r="C65" s="164"/>
      <c r="D65" s="164">
        <f t="shared" si="19"/>
        <v>0</v>
      </c>
      <c r="E65" s="164"/>
      <c r="F65" s="164"/>
      <c r="G65" s="164">
        <f t="shared" si="20"/>
        <v>0</v>
      </c>
    </row>
    <row r="66" spans="1:8" x14ac:dyDescent="0.25">
      <c r="A66" s="69" t="s">
        <v>386</v>
      </c>
      <c r="B66" s="164"/>
      <c r="C66" s="164"/>
      <c r="D66" s="164">
        <f t="shared" si="19"/>
        <v>0</v>
      </c>
      <c r="E66" s="164"/>
      <c r="F66" s="164"/>
      <c r="G66" s="164">
        <f t="shared" si="20"/>
        <v>0</v>
      </c>
    </row>
    <row r="67" spans="1:8" x14ac:dyDescent="0.25">
      <c r="A67" s="69" t="s">
        <v>387</v>
      </c>
      <c r="B67" s="164"/>
      <c r="C67" s="164"/>
      <c r="D67" s="164">
        <f t="shared" si="19"/>
        <v>0</v>
      </c>
      <c r="E67" s="164"/>
      <c r="F67" s="164"/>
      <c r="G67" s="164">
        <f t="shared" si="20"/>
        <v>0</v>
      </c>
    </row>
    <row r="68" spans="1:8" x14ac:dyDescent="0.25">
      <c r="A68" s="69" t="s">
        <v>388</v>
      </c>
      <c r="B68" s="164"/>
      <c r="C68" s="164"/>
      <c r="D68" s="164">
        <f t="shared" si="19"/>
        <v>0</v>
      </c>
      <c r="E68" s="164"/>
      <c r="F68" s="164"/>
      <c r="G68" s="164">
        <f t="shared" si="20"/>
        <v>0</v>
      </c>
    </row>
    <row r="69" spans="1:8" x14ac:dyDescent="0.25">
      <c r="A69" s="69" t="s">
        <v>389</v>
      </c>
      <c r="B69" s="164"/>
      <c r="C69" s="164"/>
      <c r="D69" s="164">
        <f t="shared" si="19"/>
        <v>0</v>
      </c>
      <c r="E69" s="164"/>
      <c r="F69" s="164"/>
      <c r="G69" s="164">
        <f t="shared" si="20"/>
        <v>0</v>
      </c>
    </row>
    <row r="70" spans="1:8" x14ac:dyDescent="0.25">
      <c r="A70" s="69" t="s">
        <v>390</v>
      </c>
      <c r="B70" s="164"/>
      <c r="C70" s="164"/>
      <c r="D70" s="164">
        <f t="shared" si="19"/>
        <v>0</v>
      </c>
      <c r="E70" s="164"/>
      <c r="F70" s="164"/>
      <c r="G70" s="164">
        <f t="shared" si="20"/>
        <v>0</v>
      </c>
    </row>
    <row r="71" spans="1:8" x14ac:dyDescent="0.25">
      <c r="A71" s="64" t="s">
        <v>3299</v>
      </c>
      <c r="B71" s="74">
        <f t="shared" ref="B71:G71" si="21">SUM(B72:B75)</f>
        <v>0</v>
      </c>
      <c r="C71" s="74">
        <f t="shared" si="21"/>
        <v>0</v>
      </c>
      <c r="D71" s="74">
        <f t="shared" si="21"/>
        <v>0</v>
      </c>
      <c r="E71" s="74">
        <f t="shared" si="21"/>
        <v>0</v>
      </c>
      <c r="F71" s="74">
        <f t="shared" si="21"/>
        <v>0</v>
      </c>
      <c r="G71" s="74">
        <f t="shared" si="21"/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>D74-E74</f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22">B43+B9</f>
        <v>94130488</v>
      </c>
      <c r="C77" s="73">
        <f t="shared" si="22"/>
        <v>40234784.490000002</v>
      </c>
      <c r="D77" s="73">
        <f t="shared" si="22"/>
        <v>134365272.49000001</v>
      </c>
      <c r="E77" s="73">
        <f t="shared" si="22"/>
        <v>119311869.39</v>
      </c>
      <c r="F77" s="73">
        <f t="shared" si="22"/>
        <v>115189098.33</v>
      </c>
      <c r="G77" s="73">
        <f t="shared" si="22"/>
        <v>15053403.100000005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55530488</v>
      </c>
      <c r="Q2" s="18">
        <f>'Formato 6 c)'!C9</f>
        <v>4811022.38</v>
      </c>
      <c r="R2" s="18">
        <f>'Formato 6 c)'!D9</f>
        <v>60341510.380000003</v>
      </c>
      <c r="S2" s="18">
        <f>'Formato 6 c)'!E9</f>
        <v>51481044.359999999</v>
      </c>
      <c r="T2" s="18">
        <f>'Formato 6 c)'!F9</f>
        <v>48690378.380000003</v>
      </c>
      <c r="U2" s="18">
        <f>'Formato 6 c)'!G9</f>
        <v>8860466.0199999996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33496277.620000001</v>
      </c>
      <c r="Q3" s="18">
        <f>'Formato 6 c)'!C10</f>
        <v>286376.73999999993</v>
      </c>
      <c r="R3" s="18">
        <f>'Formato 6 c)'!D10</f>
        <v>33782654.359999999</v>
      </c>
      <c r="S3" s="18">
        <f>'Formato 6 c)'!E10</f>
        <v>28900412.41</v>
      </c>
      <c r="T3" s="18">
        <f>'Formato 6 c)'!F10</f>
        <v>27353744.640000001</v>
      </c>
      <c r="U3" s="18">
        <f>'Formato 6 c)'!G10</f>
        <v>4882241.95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6799464.7800000003</v>
      </c>
      <c r="Q4" s="18">
        <f>'Formato 6 c)'!C11</f>
        <v>131252.71</v>
      </c>
      <c r="R4" s="18">
        <f>'Formato 6 c)'!D11</f>
        <v>6930717.4900000002</v>
      </c>
      <c r="S4" s="18">
        <f>'Formato 6 c)'!E11</f>
        <v>6523855.9500000002</v>
      </c>
      <c r="T4" s="18">
        <f>'Formato 6 c)'!F11</f>
        <v>6373181.2400000002</v>
      </c>
      <c r="U4" s="18">
        <f>'Formato 6 c)'!G11</f>
        <v>406861.54000000004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14430925.17</v>
      </c>
      <c r="Q6" s="18">
        <f>'Formato 6 c)'!C13</f>
        <v>-1844008.09</v>
      </c>
      <c r="R6" s="18">
        <f>'Formato 6 c)'!D13</f>
        <v>12586917.08</v>
      </c>
      <c r="S6" s="18">
        <f>'Formato 6 c)'!E13</f>
        <v>10110799.83</v>
      </c>
      <c r="T6" s="18">
        <f>'Formato 6 c)'!F13</f>
        <v>9929263.0800000001</v>
      </c>
      <c r="U6" s="18">
        <f>'Formato 6 c)'!G13</f>
        <v>2476117.25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7656417.1399999997</v>
      </c>
      <c r="Q8" s="18">
        <f>'Formato 6 c)'!C15</f>
        <v>672819.74</v>
      </c>
      <c r="R8" s="18">
        <f>'Formato 6 c)'!D15</f>
        <v>8329236.8799999999</v>
      </c>
      <c r="S8" s="18">
        <f>'Formato 6 c)'!E15</f>
        <v>7094385.2599999998</v>
      </c>
      <c r="T8" s="18">
        <f>'Formato 6 c)'!F15</f>
        <v>6721489.04</v>
      </c>
      <c r="U8" s="18">
        <f>'Formato 6 c)'!G15</f>
        <v>1234851.6200000001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1879894.82</v>
      </c>
      <c r="Q10" s="18">
        <f>'Formato 6 c)'!C17</f>
        <v>1002617.8</v>
      </c>
      <c r="R10" s="18">
        <f>'Formato 6 c)'!D17</f>
        <v>2882512.62</v>
      </c>
      <c r="S10" s="18">
        <f>'Formato 6 c)'!E17</f>
        <v>2383808.4900000002</v>
      </c>
      <c r="T10" s="18">
        <f>'Formato 6 c)'!F17</f>
        <v>1731317.57</v>
      </c>
      <c r="U10" s="18">
        <f>'Formato 6 c)'!G17</f>
        <v>498704.12999999989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2729575.71</v>
      </c>
      <c r="Q11" s="18">
        <f>'Formato 6 c)'!C18</f>
        <v>323694.58</v>
      </c>
      <c r="R11" s="18">
        <f>'Formato 6 c)'!D18</f>
        <v>3053270.29</v>
      </c>
      <c r="S11" s="18">
        <f>'Formato 6 c)'!E18</f>
        <v>2787562.88</v>
      </c>
      <c r="T11" s="18">
        <f>'Formato 6 c)'!F18</f>
        <v>2598493.71</v>
      </c>
      <c r="U11" s="18">
        <f>'Formato 6 c)'!G18</f>
        <v>265707.41000000015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20655798.239999998</v>
      </c>
      <c r="Q12" s="18">
        <f>'Formato 6 c)'!C19</f>
        <v>4144217.4899999998</v>
      </c>
      <c r="R12" s="18">
        <f>'Formato 6 c)'!D19</f>
        <v>24800015.73</v>
      </c>
      <c r="S12" s="18">
        <f>'Formato 6 c)'!E19</f>
        <v>21224415.169999998</v>
      </c>
      <c r="T12" s="18">
        <f>'Formato 6 c)'!F19</f>
        <v>20121648.59</v>
      </c>
      <c r="U12" s="18">
        <f>'Formato 6 c)'!G19</f>
        <v>3575600.5599999996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757250.18</v>
      </c>
      <c r="Q13" s="18">
        <f>'Formato 6 c)'!C20</f>
        <v>8411.84</v>
      </c>
      <c r="R13" s="18">
        <f>'Formato 6 c)'!D20</f>
        <v>765662.02</v>
      </c>
      <c r="S13" s="18">
        <f>'Formato 6 c)'!E20</f>
        <v>602609.29</v>
      </c>
      <c r="T13" s="18">
        <f>'Formato 6 c)'!F20</f>
        <v>553055.02</v>
      </c>
      <c r="U13" s="18">
        <f>'Formato 6 c)'!G20</f>
        <v>163052.72999999998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12344971.83</v>
      </c>
      <c r="Q14" s="18">
        <f>'Formato 6 c)'!C21</f>
        <v>4719477.74</v>
      </c>
      <c r="R14" s="18">
        <f>'Formato 6 c)'!D21</f>
        <v>17064449.57</v>
      </c>
      <c r="S14" s="18">
        <f>'Formato 6 c)'!E21</f>
        <v>14382043.07</v>
      </c>
      <c r="T14" s="18">
        <f>'Formato 6 c)'!F21</f>
        <v>13615595.07</v>
      </c>
      <c r="U14" s="18">
        <f>'Formato 6 c)'!G21</f>
        <v>2682406.5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259112.91</v>
      </c>
      <c r="R15" s="18">
        <f>'Formato 6 c)'!D22</f>
        <v>259112.91</v>
      </c>
      <c r="S15" s="18">
        <f>'Formato 6 c)'!E22</f>
        <v>244972.36</v>
      </c>
      <c r="T15" s="18">
        <f>'Formato 6 c)'!F22</f>
        <v>244972.36</v>
      </c>
      <c r="U15" s="18">
        <f>'Formato 6 c)'!G22</f>
        <v>14140.550000000017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4217919.37</v>
      </c>
      <c r="Q16" s="18">
        <f>'Formato 6 c)'!C23</f>
        <v>-1010946.31</v>
      </c>
      <c r="R16" s="18">
        <f>'Formato 6 c)'!D23</f>
        <v>3206973.06</v>
      </c>
      <c r="S16" s="18">
        <f>'Formato 6 c)'!E23</f>
        <v>2644081.66</v>
      </c>
      <c r="T16" s="18">
        <f>'Formato 6 c)'!F23</f>
        <v>2491175.79</v>
      </c>
      <c r="U16" s="18">
        <f>'Formato 6 c)'!G23</f>
        <v>562891.39999999991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1493242.18</v>
      </c>
      <c r="Q17" s="18">
        <f>'Formato 6 c)'!C24</f>
        <v>-44029.99</v>
      </c>
      <c r="R17" s="18">
        <f>'Formato 6 c)'!D24</f>
        <v>1449212.19</v>
      </c>
      <c r="S17" s="18">
        <f>'Formato 6 c)'!E24</f>
        <v>1341200.98</v>
      </c>
      <c r="T17" s="18">
        <f>'Formato 6 c)'!F24</f>
        <v>1229413.96</v>
      </c>
      <c r="U17" s="18">
        <f>'Formato 6 c)'!G24</f>
        <v>108011.20999999996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1842414.68</v>
      </c>
      <c r="Q18" s="18">
        <f>'Formato 6 c)'!C25</f>
        <v>212191.3</v>
      </c>
      <c r="R18" s="18">
        <f>'Formato 6 c)'!D25</f>
        <v>2054605.98</v>
      </c>
      <c r="S18" s="18">
        <f>'Formato 6 c)'!E25</f>
        <v>2009507.81</v>
      </c>
      <c r="T18" s="18">
        <f>'Formato 6 c)'!F25</f>
        <v>1987436.39</v>
      </c>
      <c r="U18" s="18">
        <f>'Formato 6 c)'!G25</f>
        <v>45098.169999999925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1378412.1400000001</v>
      </c>
      <c r="Q20" s="18">
        <f>'Formato 6 c)'!C27</f>
        <v>380428.15</v>
      </c>
      <c r="R20" s="18">
        <f>'Formato 6 c)'!D27</f>
        <v>1758840.29</v>
      </c>
      <c r="S20" s="18">
        <f>'Formato 6 c)'!E27</f>
        <v>1356216.7800000003</v>
      </c>
      <c r="T20" s="18">
        <f>'Formato 6 c)'!F27</f>
        <v>1214985.1499999999</v>
      </c>
      <c r="U20" s="18">
        <f>'Formato 6 c)'!G27</f>
        <v>402623.51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315672.42</v>
      </c>
      <c r="Q21" s="18">
        <f>'Formato 6 c)'!C28</f>
        <v>7577.47</v>
      </c>
      <c r="R21" s="18">
        <f>'Formato 6 c)'!D28</f>
        <v>323249.88999999996</v>
      </c>
      <c r="S21" s="18">
        <f>'Formato 6 c)'!E28</f>
        <v>266597.96000000002</v>
      </c>
      <c r="T21" s="18">
        <f>'Formato 6 c)'!F28</f>
        <v>245424.5</v>
      </c>
      <c r="U21" s="18">
        <f>'Formato 6 c)'!G28</f>
        <v>56651.929999999935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449389.84</v>
      </c>
      <c r="Q22" s="18">
        <f>'Formato 6 c)'!C29</f>
        <v>512864.76</v>
      </c>
      <c r="R22" s="18">
        <f>'Formato 6 c)'!D29</f>
        <v>962254.60000000009</v>
      </c>
      <c r="S22" s="18">
        <f>'Formato 6 c)'!E29</f>
        <v>769152.42</v>
      </c>
      <c r="T22" s="18">
        <f>'Formato 6 c)'!F29</f>
        <v>674908.29</v>
      </c>
      <c r="U22" s="18">
        <f>'Formato 6 c)'!G29</f>
        <v>193102.18000000005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613349.88</v>
      </c>
      <c r="Q27" s="18">
        <f>'Formato 6 c)'!C34</f>
        <v>-140014.07999999999</v>
      </c>
      <c r="R27" s="18">
        <f>'Formato 6 c)'!D34</f>
        <v>473335.80000000005</v>
      </c>
      <c r="S27" s="18">
        <f>'Formato 6 c)'!E34</f>
        <v>320466.40000000002</v>
      </c>
      <c r="T27" s="18">
        <f>'Formato 6 c)'!F34</f>
        <v>294652.36</v>
      </c>
      <c r="U27" s="18">
        <f>'Formato 6 c)'!G34</f>
        <v>152869.40000000002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38600000</v>
      </c>
      <c r="Q35" s="18">
        <f>'Formato 6 c)'!C43</f>
        <v>35423762.109999999</v>
      </c>
      <c r="R35" s="18">
        <f>'Formato 6 c)'!D43</f>
        <v>74023762.109999999</v>
      </c>
      <c r="S35" s="18">
        <f>'Formato 6 c)'!E43</f>
        <v>67830825.030000001</v>
      </c>
      <c r="T35" s="18">
        <f>'Formato 6 c)'!F43</f>
        <v>66498719.949999996</v>
      </c>
      <c r="U35" s="18">
        <f>'Formato 6 c)'!G43</f>
        <v>6192937.0800000057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8366802.1600000001</v>
      </c>
      <c r="Q36" s="18">
        <f>'Formato 6 c)'!C44</f>
        <v>-1162059.31</v>
      </c>
      <c r="R36" s="18">
        <f>'Formato 6 c)'!D44</f>
        <v>7204742.8499999996</v>
      </c>
      <c r="S36" s="18">
        <f>'Formato 6 c)'!E44</f>
        <v>7204742.8499999996</v>
      </c>
      <c r="T36" s="18">
        <f>'Formato 6 c)'!F44</f>
        <v>7128327.1500000004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511000</v>
      </c>
      <c r="Q41" s="18">
        <f>'Formato 6 c)'!C49</f>
        <v>-511000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7855802.1600000001</v>
      </c>
      <c r="Q43" s="18">
        <f>'Formato 6 c)'!C51</f>
        <v>-651059.31000000006</v>
      </c>
      <c r="R43" s="18">
        <f>'Formato 6 c)'!D51</f>
        <v>7204742.8499999996</v>
      </c>
      <c r="S43" s="18">
        <f>'Formato 6 c)'!E51</f>
        <v>7204742.8499999996</v>
      </c>
      <c r="T43" s="18">
        <f>'Formato 6 c)'!F51</f>
        <v>7128327.1500000004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30233197.84</v>
      </c>
      <c r="Q45" s="18">
        <f>'Formato 6 c)'!C53</f>
        <v>35298695.420000002</v>
      </c>
      <c r="R45" s="18">
        <f>'Formato 6 c)'!D53</f>
        <v>65531893.260000005</v>
      </c>
      <c r="S45" s="18">
        <f>'Formato 6 c)'!E53</f>
        <v>59338956.18</v>
      </c>
      <c r="T45" s="18">
        <f>'Formato 6 c)'!F53</f>
        <v>58771442.799999997</v>
      </c>
      <c r="U45" s="18">
        <f>'Formato 6 c)'!G53</f>
        <v>6192937.0800000057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30233197.84</v>
      </c>
      <c r="Q47" s="18">
        <f>'Formato 6 c)'!C55</f>
        <v>35298695.420000002</v>
      </c>
      <c r="R47" s="18">
        <f>'Formato 6 c)'!D55</f>
        <v>65531893.260000005</v>
      </c>
      <c r="S47" s="18">
        <f>'Formato 6 c)'!E55</f>
        <v>59338956.18</v>
      </c>
      <c r="T47" s="18">
        <f>'Formato 6 c)'!F55</f>
        <v>58771442.799999997</v>
      </c>
      <c r="U47" s="18">
        <f>'Formato 6 c)'!G55</f>
        <v>6192937.0800000057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1287126</v>
      </c>
      <c r="R53" s="18">
        <f>'Formato 6 c)'!D61</f>
        <v>1287126</v>
      </c>
      <c r="S53" s="18">
        <f>'Formato 6 c)'!E61</f>
        <v>1287126</v>
      </c>
      <c r="T53" s="18">
        <f>'Formato 6 c)'!F61</f>
        <v>598950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1287126</v>
      </c>
      <c r="R55" s="18">
        <f>'Formato 6 c)'!D63</f>
        <v>1287126</v>
      </c>
      <c r="S55" s="18">
        <f>'Formato 6 c)'!E63</f>
        <v>1287126</v>
      </c>
      <c r="T55" s="18">
        <f>'Formato 6 c)'!F63</f>
        <v>598950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94130488</v>
      </c>
      <c r="Q68" s="18">
        <f>'Formato 6 c)'!C77</f>
        <v>40234784.490000002</v>
      </c>
      <c r="R68" s="18">
        <f>'Formato 6 c)'!D77</f>
        <v>134365272.49000001</v>
      </c>
      <c r="S68" s="18">
        <f>'Formato 6 c)'!E77</f>
        <v>119311869.39</v>
      </c>
      <c r="T68" s="18">
        <f>'Formato 6 c)'!F77</f>
        <v>115189098.33</v>
      </c>
      <c r="U68" s="18">
        <f>'Formato 6 c)'!G77</f>
        <v>15053403.100000005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abSelected="1" zoomScale="70" zoomScaleNormal="70" workbookViewId="0">
      <selection activeCell="C23" sqref="C2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90" t="s">
        <v>3287</v>
      </c>
      <c r="B1" s="189"/>
      <c r="C1" s="189"/>
      <c r="D1" s="189"/>
      <c r="E1" s="189"/>
      <c r="F1" s="189"/>
      <c r="G1" s="189"/>
    </row>
    <row r="2" spans="1:7" x14ac:dyDescent="0.25">
      <c r="A2" s="171" t="str">
        <f>ENTE_PUBLICO_A</f>
        <v>MUNICIPIO DE TIERRA BLANCA, GUANAJUATO, Gobierno del Estado de Guanajuato (a)</v>
      </c>
      <c r="B2" s="172"/>
      <c r="C2" s="172"/>
      <c r="D2" s="172"/>
      <c r="E2" s="172"/>
      <c r="F2" s="172"/>
      <c r="G2" s="173"/>
    </row>
    <row r="3" spans="1:7" x14ac:dyDescent="0.25">
      <c r="A3" s="177" t="s">
        <v>277</v>
      </c>
      <c r="B3" s="178"/>
      <c r="C3" s="178"/>
      <c r="D3" s="178"/>
      <c r="E3" s="178"/>
      <c r="F3" s="178"/>
      <c r="G3" s="179"/>
    </row>
    <row r="4" spans="1:7" x14ac:dyDescent="0.25">
      <c r="A4" s="177" t="s">
        <v>399</v>
      </c>
      <c r="B4" s="178"/>
      <c r="C4" s="178"/>
      <c r="D4" s="178"/>
      <c r="E4" s="178"/>
      <c r="F4" s="178"/>
      <c r="G4" s="179"/>
    </row>
    <row r="5" spans="1:7" x14ac:dyDescent="0.25">
      <c r="A5" s="177" t="str">
        <f>TRIMESTRE</f>
        <v>Del 1 de enero al 31 de diciembre de 2020 (b)</v>
      </c>
      <c r="B5" s="178"/>
      <c r="C5" s="178"/>
      <c r="D5" s="178"/>
      <c r="E5" s="178"/>
      <c r="F5" s="178"/>
      <c r="G5" s="179"/>
    </row>
    <row r="6" spans="1:7" x14ac:dyDescent="0.25">
      <c r="A6" s="180" t="s">
        <v>118</v>
      </c>
      <c r="B6" s="181"/>
      <c r="C6" s="181"/>
      <c r="D6" s="181"/>
      <c r="E6" s="181"/>
      <c r="F6" s="181"/>
      <c r="G6" s="182"/>
    </row>
    <row r="7" spans="1:7" x14ac:dyDescent="0.25">
      <c r="A7" s="186" t="s">
        <v>361</v>
      </c>
      <c r="B7" s="191" t="s">
        <v>279</v>
      </c>
      <c r="C7" s="191"/>
      <c r="D7" s="191"/>
      <c r="E7" s="191"/>
      <c r="F7" s="191"/>
      <c r="G7" s="191" t="s">
        <v>280</v>
      </c>
    </row>
    <row r="8" spans="1:7" ht="29.25" customHeight="1" x14ac:dyDescent="0.25">
      <c r="A8" s="187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8"/>
    </row>
    <row r="9" spans="1:7" x14ac:dyDescent="0.25">
      <c r="A9" s="52" t="s">
        <v>400</v>
      </c>
      <c r="B9" s="66">
        <f t="shared" ref="B9:G9" si="0">SUM(B10,B11,B12,B15,B16,B19)</f>
        <v>27474287.640000001</v>
      </c>
      <c r="C9" s="66">
        <f t="shared" si="0"/>
        <v>106608.69</v>
      </c>
      <c r="D9" s="66">
        <f t="shared" si="0"/>
        <v>27580896.330000002</v>
      </c>
      <c r="E9" s="66">
        <f t="shared" si="0"/>
        <v>26304670.670000002</v>
      </c>
      <c r="F9" s="66">
        <f t="shared" si="0"/>
        <v>24025998.5</v>
      </c>
      <c r="G9" s="66">
        <f t="shared" si="0"/>
        <v>1276225.6600000001</v>
      </c>
    </row>
    <row r="10" spans="1:7" x14ac:dyDescent="0.25">
      <c r="A10" s="53" t="s">
        <v>401</v>
      </c>
      <c r="B10" s="165">
        <v>27474287.640000001</v>
      </c>
      <c r="C10" s="165">
        <v>106608.69</v>
      </c>
      <c r="D10" s="166">
        <f>B10+C10</f>
        <v>27580896.330000002</v>
      </c>
      <c r="E10" s="165">
        <v>26304670.670000002</v>
      </c>
      <c r="F10" s="165">
        <v>24025998.5</v>
      </c>
      <c r="G10" s="166">
        <f>D10-E10</f>
        <v>1276225.6600000001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/>
    </row>
    <row r="12" spans="1:7" x14ac:dyDescent="0.25">
      <c r="A12" s="53" t="s">
        <v>403</v>
      </c>
      <c r="B12" s="67">
        <f t="shared" ref="B12:G12" si="1">B13+B14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</row>
    <row r="13" spans="1:7" x14ac:dyDescent="0.25">
      <c r="A13" s="63" t="s">
        <v>404</v>
      </c>
      <c r="B13" s="67"/>
      <c r="C13" s="67"/>
      <c r="D13" s="67"/>
      <c r="E13" s="67"/>
      <c r="F13" s="67"/>
      <c r="G13" s="67"/>
    </row>
    <row r="14" spans="1:7" x14ac:dyDescent="0.25">
      <c r="A14" s="63" t="s">
        <v>405</v>
      </c>
      <c r="B14" s="67"/>
      <c r="C14" s="67"/>
      <c r="D14" s="67"/>
      <c r="E14" s="67"/>
      <c r="F14" s="67"/>
      <c r="G14" s="67"/>
    </row>
    <row r="15" spans="1:7" x14ac:dyDescent="0.25">
      <c r="A15" s="53" t="s">
        <v>406</v>
      </c>
      <c r="B15" s="67"/>
      <c r="C15" s="67"/>
      <c r="D15" s="67"/>
      <c r="E15" s="67"/>
      <c r="F15" s="67"/>
      <c r="G15" s="67"/>
    </row>
    <row r="16" spans="1:7" x14ac:dyDescent="0.25">
      <c r="A16" s="64" t="s">
        <v>407</v>
      </c>
      <c r="B16" s="67">
        <f t="shared" ref="B16:G16" si="2">B17+B18</f>
        <v>0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2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x14ac:dyDescent="0.2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x14ac:dyDescent="0.2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 t="shared" ref="B21:G21" si="3">SUM(B22,B23,B24,B27,B28,B31)</f>
        <v>6755802.1600000001</v>
      </c>
      <c r="C21" s="66">
        <f t="shared" si="3"/>
        <v>-755335.67</v>
      </c>
      <c r="D21" s="66">
        <f t="shared" si="3"/>
        <v>6000466.4900000002</v>
      </c>
      <c r="E21" s="66">
        <f t="shared" si="3"/>
        <v>6000466.4900000002</v>
      </c>
      <c r="F21" s="66">
        <f t="shared" si="3"/>
        <v>6000466.4900000002</v>
      </c>
      <c r="G21" s="66">
        <f t="shared" si="3"/>
        <v>0</v>
      </c>
    </row>
    <row r="22" spans="1:7" s="24" customFormat="1" x14ac:dyDescent="0.25">
      <c r="A22" s="53" t="s">
        <v>401</v>
      </c>
      <c r="B22" s="165">
        <v>6755802.1600000001</v>
      </c>
      <c r="C22" s="165">
        <v>-755335.67</v>
      </c>
      <c r="D22" s="166">
        <f>B22+C22</f>
        <v>6000466.4900000002</v>
      </c>
      <c r="E22" s="165">
        <v>6000466.4900000002</v>
      </c>
      <c r="F22" s="165">
        <v>6000466.4900000002</v>
      </c>
      <c r="G22" s="67">
        <f>D22-E22</f>
        <v>0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>
        <f t="shared" ref="B24:G24" si="4">B25+B26</f>
        <v>0</v>
      </c>
      <c r="C24" s="67">
        <f t="shared" si="4"/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>D27-E27</f>
        <v>0</v>
      </c>
    </row>
    <row r="28" spans="1:7" s="24" customFormat="1" x14ac:dyDescent="0.25">
      <c r="A28" s="64" t="s">
        <v>407</v>
      </c>
      <c r="B28" s="67">
        <f t="shared" ref="B28:G28" si="5">B29+B30</f>
        <v>0</v>
      </c>
      <c r="C28" s="67">
        <f t="shared" si="5"/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34230089.799999997</v>
      </c>
      <c r="C33" s="66">
        <f t="shared" si="6"/>
        <v>-648726.98</v>
      </c>
      <c r="D33" s="66">
        <f t="shared" si="6"/>
        <v>33581362.82</v>
      </c>
      <c r="E33" s="66">
        <f t="shared" si="6"/>
        <v>32305137.160000004</v>
      </c>
      <c r="F33" s="66">
        <f t="shared" si="6"/>
        <v>30026464.990000002</v>
      </c>
      <c r="G33" s="66">
        <f t="shared" si="6"/>
        <v>1276225.6600000001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27474287.640000001</v>
      </c>
      <c r="Q2" s="18">
        <f>'Formato 6 d)'!C9</f>
        <v>106608.69</v>
      </c>
      <c r="R2" s="18">
        <f>'Formato 6 d)'!D9</f>
        <v>27580896.330000002</v>
      </c>
      <c r="S2" s="18">
        <f>'Formato 6 d)'!E9</f>
        <v>26304670.670000002</v>
      </c>
      <c r="T2" s="18">
        <f>'Formato 6 d)'!F9</f>
        <v>24025998.5</v>
      </c>
      <c r="U2" s="18">
        <f>'Formato 6 d)'!G9</f>
        <v>1276225.6600000001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27474287.640000001</v>
      </c>
      <c r="Q3" s="18">
        <f>'Formato 6 d)'!C10</f>
        <v>106608.69</v>
      </c>
      <c r="R3" s="18">
        <f>'Formato 6 d)'!D10</f>
        <v>27580896.330000002</v>
      </c>
      <c r="S3" s="18">
        <f>'Formato 6 d)'!E10</f>
        <v>26304670.670000002</v>
      </c>
      <c r="T3" s="18">
        <f>'Formato 6 d)'!F10</f>
        <v>24025998.5</v>
      </c>
      <c r="U3" s="18">
        <f>'Formato 6 d)'!G10</f>
        <v>1276225.6600000001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6755802.1600000001</v>
      </c>
      <c r="Q13" s="18">
        <f>'Formato 6 d)'!C21</f>
        <v>-755335.67</v>
      </c>
      <c r="R13" s="18">
        <f>'Formato 6 d)'!D21</f>
        <v>6000466.4900000002</v>
      </c>
      <c r="S13" s="18">
        <f>'Formato 6 d)'!E21</f>
        <v>6000466.4900000002</v>
      </c>
      <c r="T13" s="18">
        <f>'Formato 6 d)'!F21</f>
        <v>6000466.4900000002</v>
      </c>
      <c r="U13" s="18">
        <f>'Formato 6 d)'!G21</f>
        <v>0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6755802.1600000001</v>
      </c>
      <c r="Q14" s="18">
        <f>'Formato 6 d)'!C22</f>
        <v>-755335.67</v>
      </c>
      <c r="R14" s="18">
        <f>'Formato 6 d)'!D22</f>
        <v>6000466.4900000002</v>
      </c>
      <c r="S14" s="18">
        <f>'Formato 6 d)'!E22</f>
        <v>6000466.4900000002</v>
      </c>
      <c r="T14" s="18">
        <f>'Formato 6 d)'!F22</f>
        <v>6000466.4900000002</v>
      </c>
      <c r="U14" s="18">
        <f>'Formato 6 d)'!G22</f>
        <v>0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34230089.799999997</v>
      </c>
      <c r="Q24" s="18">
        <f>'Formato 6 d)'!C33</f>
        <v>-648726.98</v>
      </c>
      <c r="R24" s="18">
        <f>'Formato 6 d)'!D33</f>
        <v>33581362.82</v>
      </c>
      <c r="S24" s="18">
        <f>'Formato 6 d)'!E33</f>
        <v>32305137.160000004</v>
      </c>
      <c r="T24" s="18">
        <f>'Formato 6 d)'!F33</f>
        <v>30026464.990000002</v>
      </c>
      <c r="U24" s="18">
        <f>'Formato 6 d)'!G33</f>
        <v>1276225.6600000001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89" t="s">
        <v>413</v>
      </c>
      <c r="B1" s="189"/>
      <c r="C1" s="189"/>
      <c r="D1" s="189"/>
      <c r="E1" s="189"/>
      <c r="F1" s="189"/>
      <c r="G1" s="189"/>
    </row>
    <row r="2" spans="1:7" x14ac:dyDescent="0.25">
      <c r="A2" s="171" t="str">
        <f>ENTIDAD</f>
        <v>Municipio de Tierra Blanca, Gobierno del Estado de Guanajuato</v>
      </c>
      <c r="B2" s="172"/>
      <c r="C2" s="172"/>
      <c r="D2" s="172"/>
      <c r="E2" s="172"/>
      <c r="F2" s="172"/>
      <c r="G2" s="173"/>
    </row>
    <row r="3" spans="1:7" x14ac:dyDescent="0.25">
      <c r="A3" s="174" t="s">
        <v>414</v>
      </c>
      <c r="B3" s="175"/>
      <c r="C3" s="175"/>
      <c r="D3" s="175"/>
      <c r="E3" s="175"/>
      <c r="F3" s="175"/>
      <c r="G3" s="176"/>
    </row>
    <row r="4" spans="1:7" x14ac:dyDescent="0.25">
      <c r="A4" s="174" t="s">
        <v>118</v>
      </c>
      <c r="B4" s="175"/>
      <c r="C4" s="175"/>
      <c r="D4" s="175"/>
      <c r="E4" s="175"/>
      <c r="F4" s="175"/>
      <c r="G4" s="176"/>
    </row>
    <row r="5" spans="1:7" x14ac:dyDescent="0.25">
      <c r="A5" s="174" t="s">
        <v>415</v>
      </c>
      <c r="B5" s="175"/>
      <c r="C5" s="175"/>
      <c r="D5" s="175"/>
      <c r="E5" s="175"/>
      <c r="F5" s="175"/>
      <c r="G5" s="176"/>
    </row>
    <row r="6" spans="1:7" x14ac:dyDescent="0.25">
      <c r="A6" s="186" t="s">
        <v>3288</v>
      </c>
      <c r="B6" s="51">
        <f>ANIO1P</f>
        <v>2021</v>
      </c>
      <c r="C6" s="199" t="str">
        <f>ANIO2P</f>
        <v>2022 (d)</v>
      </c>
      <c r="D6" s="199" t="str">
        <f>ANIO3P</f>
        <v>2023 (d)</v>
      </c>
      <c r="E6" s="199" t="str">
        <f>ANIO4P</f>
        <v>2024 (d)</v>
      </c>
      <c r="F6" s="199" t="str">
        <f>ANIO5P</f>
        <v>2025 (d)</v>
      </c>
      <c r="G6" s="199" t="str">
        <f>ANIO6P</f>
        <v>2026 (d)</v>
      </c>
    </row>
    <row r="7" spans="1:7" ht="48" customHeight="1" x14ac:dyDescent="0.25">
      <c r="A7" s="187"/>
      <c r="B7" s="85" t="s">
        <v>3291</v>
      </c>
      <c r="C7" s="200"/>
      <c r="D7" s="200"/>
      <c r="E7" s="200"/>
      <c r="F7" s="200"/>
      <c r="G7" s="200"/>
    </row>
    <row r="8" spans="1:7" x14ac:dyDescent="0.25">
      <c r="A8" s="52" t="s">
        <v>421</v>
      </c>
      <c r="B8" s="59">
        <f t="shared" ref="B8:G8" si="0">SUM(B9:B20)</f>
        <v>12</v>
      </c>
      <c r="C8" s="59">
        <f t="shared" si="0"/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x14ac:dyDescent="0.2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x14ac:dyDescent="0.2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5</v>
      </c>
      <c r="C22" s="61">
        <f t="shared" si="1"/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x14ac:dyDescent="0.2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1</v>
      </c>
      <c r="C29" s="61">
        <f t="shared" si="2"/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18</v>
      </c>
      <c r="C32" s="61">
        <f t="shared" si="3"/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 t="shared" si="3"/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 t="shared" ref="B37:G37" si="4">B36+B35</f>
        <v>2</v>
      </c>
      <c r="C37" s="61">
        <f t="shared" si="4"/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 t="shared" si="4"/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E6:E7"/>
    <mergeCell ref="F6:F7"/>
    <mergeCell ref="G6:G7"/>
    <mergeCell ref="A1:G1"/>
    <mergeCell ref="A2:G2"/>
    <mergeCell ref="A3:G3"/>
    <mergeCell ref="A4:G4"/>
    <mergeCell ref="A5:G5"/>
    <mergeCell ref="A6:A7"/>
    <mergeCell ref="C6:C7"/>
    <mergeCell ref="D6:D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89" t="s">
        <v>451</v>
      </c>
      <c r="B1" s="189"/>
      <c r="C1" s="189"/>
      <c r="D1" s="189"/>
      <c r="E1" s="189"/>
      <c r="F1" s="189"/>
      <c r="G1" s="189"/>
    </row>
    <row r="2" spans="1:7" customFormat="1" x14ac:dyDescent="0.25">
      <c r="A2" s="171" t="str">
        <f>ENTIDAD</f>
        <v>Municipio de Tierra Blanca, Gobierno del Estado de Guanajuato</v>
      </c>
      <c r="B2" s="172"/>
      <c r="C2" s="172"/>
      <c r="D2" s="172"/>
      <c r="E2" s="172"/>
      <c r="F2" s="172"/>
      <c r="G2" s="173"/>
    </row>
    <row r="3" spans="1:7" customFormat="1" x14ac:dyDescent="0.25">
      <c r="A3" s="174" t="s">
        <v>452</v>
      </c>
      <c r="B3" s="175"/>
      <c r="C3" s="175"/>
      <c r="D3" s="175"/>
      <c r="E3" s="175"/>
      <c r="F3" s="175"/>
      <c r="G3" s="176"/>
    </row>
    <row r="4" spans="1:7" customFormat="1" x14ac:dyDescent="0.25">
      <c r="A4" s="174" t="s">
        <v>118</v>
      </c>
      <c r="B4" s="175"/>
      <c r="C4" s="175"/>
      <c r="D4" s="175"/>
      <c r="E4" s="175"/>
      <c r="F4" s="175"/>
      <c r="G4" s="176"/>
    </row>
    <row r="5" spans="1:7" customFormat="1" x14ac:dyDescent="0.25">
      <c r="A5" s="174" t="s">
        <v>415</v>
      </c>
      <c r="B5" s="175"/>
      <c r="C5" s="175"/>
      <c r="D5" s="175"/>
      <c r="E5" s="175"/>
      <c r="F5" s="175"/>
      <c r="G5" s="176"/>
    </row>
    <row r="6" spans="1:7" customFormat="1" x14ac:dyDescent="0.25">
      <c r="A6" s="201" t="s">
        <v>3142</v>
      </c>
      <c r="B6" s="51">
        <f>ANIO1P</f>
        <v>2021</v>
      </c>
      <c r="C6" s="199" t="str">
        <f>ANIO2P</f>
        <v>2022 (d)</v>
      </c>
      <c r="D6" s="199" t="str">
        <f>ANIO3P</f>
        <v>2023 (d)</v>
      </c>
      <c r="E6" s="199" t="str">
        <f>ANIO4P</f>
        <v>2024 (d)</v>
      </c>
      <c r="F6" s="199" t="str">
        <f>ANIO5P</f>
        <v>2025 (d)</v>
      </c>
      <c r="G6" s="199" t="str">
        <f>ANIO6P</f>
        <v>2026 (d)</v>
      </c>
    </row>
    <row r="7" spans="1:7" customFormat="1" ht="48" customHeight="1" x14ac:dyDescent="0.25">
      <c r="A7" s="202"/>
      <c r="B7" s="85" t="s">
        <v>3291</v>
      </c>
      <c r="C7" s="200"/>
      <c r="D7" s="200"/>
      <c r="E7" s="200"/>
      <c r="F7" s="200"/>
      <c r="G7" s="200"/>
    </row>
    <row r="8" spans="1:7" x14ac:dyDescent="0.25">
      <c r="A8" s="52" t="s">
        <v>453</v>
      </c>
      <c r="B8" s="59">
        <f t="shared" ref="B8:G8" si="0">SUM(B9:B17)</f>
        <v>9</v>
      </c>
      <c r="C8" s="59">
        <f t="shared" si="0"/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86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9</v>
      </c>
      <c r="C19" s="61">
        <f t="shared" si="1"/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18</v>
      </c>
      <c r="C30" s="61">
        <f t="shared" si="2"/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F6:F7"/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88" customFormat="1" ht="37.5" customHeight="1" x14ac:dyDescent="0.25">
      <c r="A1" s="189" t="s">
        <v>466</v>
      </c>
      <c r="B1" s="189"/>
      <c r="C1" s="189"/>
      <c r="D1" s="189"/>
      <c r="E1" s="189"/>
      <c r="F1" s="189"/>
      <c r="G1" s="189"/>
    </row>
    <row r="2" spans="1:7" x14ac:dyDescent="0.25">
      <c r="A2" s="171" t="str">
        <f>ENTIDAD</f>
        <v>Municipio de Tierra Blanca, Gobierno del Estado de Guanajuato</v>
      </c>
      <c r="B2" s="172"/>
      <c r="C2" s="172"/>
      <c r="D2" s="172"/>
      <c r="E2" s="172"/>
      <c r="F2" s="172"/>
      <c r="G2" s="173"/>
    </row>
    <row r="3" spans="1:7" x14ac:dyDescent="0.25">
      <c r="A3" s="174" t="s">
        <v>467</v>
      </c>
      <c r="B3" s="175"/>
      <c r="C3" s="175"/>
      <c r="D3" s="175"/>
      <c r="E3" s="175"/>
      <c r="F3" s="175"/>
      <c r="G3" s="176"/>
    </row>
    <row r="4" spans="1:7" x14ac:dyDescent="0.25">
      <c r="A4" s="180" t="s">
        <v>118</v>
      </c>
      <c r="B4" s="181"/>
      <c r="C4" s="181"/>
      <c r="D4" s="181"/>
      <c r="E4" s="181"/>
      <c r="F4" s="181"/>
      <c r="G4" s="182"/>
    </row>
    <row r="5" spans="1:7" x14ac:dyDescent="0.25">
      <c r="A5" s="206" t="s">
        <v>3288</v>
      </c>
      <c r="B5" s="204" t="str">
        <f>ANIO5R</f>
        <v>2015 ¹ (c)</v>
      </c>
      <c r="C5" s="204" t="str">
        <f>ANIO4R</f>
        <v>2016 ¹ (c)</v>
      </c>
      <c r="D5" s="204" t="str">
        <f>ANIO3R</f>
        <v>2017 ¹ (c)</v>
      </c>
      <c r="E5" s="204" t="str">
        <f>ANIO2R</f>
        <v>2018 ¹ (c)</v>
      </c>
      <c r="F5" s="204" t="str">
        <f>ANIO1R</f>
        <v>2019 ¹ (c)</v>
      </c>
      <c r="G5" s="51">
        <f>ANIO_INFORME</f>
        <v>2020</v>
      </c>
    </row>
    <row r="6" spans="1:7" ht="32.1" customHeight="1" x14ac:dyDescent="0.25">
      <c r="A6" s="207"/>
      <c r="B6" s="205"/>
      <c r="C6" s="205"/>
      <c r="D6" s="205"/>
      <c r="E6" s="205"/>
      <c r="F6" s="205"/>
      <c r="G6" s="85" t="s">
        <v>3294</v>
      </c>
    </row>
    <row r="7" spans="1:7" x14ac:dyDescent="0.25">
      <c r="A7" s="52" t="s">
        <v>468</v>
      </c>
      <c r="B7" s="59">
        <f t="shared" ref="B7:G7" si="0">SUM(B8:B19)</f>
        <v>9</v>
      </c>
      <c r="C7" s="59">
        <f t="shared" si="0"/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3.75</v>
      </c>
      <c r="C21" s="61">
        <f t="shared" si="1"/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0.75</v>
      </c>
      <c r="C28" s="61">
        <f t="shared" si="2"/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13.5</v>
      </c>
      <c r="C31" s="61">
        <f t="shared" si="3"/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 t="shared" ref="B36:G36" si="4">B34+B35</f>
        <v>1.5</v>
      </c>
      <c r="C36" s="61">
        <f t="shared" si="4"/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7"/>
    </row>
    <row r="39" spans="1:7" ht="15" customHeight="1" x14ac:dyDescent="0.25">
      <c r="A39" s="203" t="s">
        <v>3292</v>
      </c>
      <c r="B39" s="203"/>
      <c r="C39" s="203"/>
      <c r="D39" s="203"/>
      <c r="E39" s="203"/>
      <c r="F39" s="203"/>
      <c r="G39" s="203"/>
    </row>
    <row r="40" spans="1:7" ht="15" customHeight="1" x14ac:dyDescent="0.25">
      <c r="A40" s="203" t="s">
        <v>3293</v>
      </c>
      <c r="B40" s="203"/>
      <c r="C40" s="203"/>
      <c r="D40" s="203"/>
      <c r="E40" s="203"/>
      <c r="F40" s="203"/>
      <c r="G40" s="203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IV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88" customFormat="1" ht="37.5" customHeight="1" x14ac:dyDescent="0.25">
      <c r="A1" s="189" t="s">
        <v>490</v>
      </c>
      <c r="B1" s="189"/>
      <c r="C1" s="189"/>
      <c r="D1" s="189"/>
      <c r="E1" s="189"/>
      <c r="F1" s="189"/>
      <c r="G1" s="189"/>
    </row>
    <row r="2" spans="1:7" x14ac:dyDescent="0.25">
      <c r="A2" s="171" t="str">
        <f>ENTIDAD</f>
        <v>Municipio de Tierra Blanca, Gobierno del Estado de Guanajuato</v>
      </c>
      <c r="B2" s="172"/>
      <c r="C2" s="172"/>
      <c r="D2" s="172"/>
      <c r="E2" s="172"/>
      <c r="F2" s="172"/>
      <c r="G2" s="173"/>
    </row>
    <row r="3" spans="1:7" x14ac:dyDescent="0.25">
      <c r="A3" s="174" t="s">
        <v>491</v>
      </c>
      <c r="B3" s="175"/>
      <c r="C3" s="175"/>
      <c r="D3" s="175"/>
      <c r="E3" s="175"/>
      <c r="F3" s="175"/>
      <c r="G3" s="176"/>
    </row>
    <row r="4" spans="1:7" x14ac:dyDescent="0.25">
      <c r="A4" s="180" t="s">
        <v>118</v>
      </c>
      <c r="B4" s="181"/>
      <c r="C4" s="181"/>
      <c r="D4" s="181"/>
      <c r="E4" s="181"/>
      <c r="F4" s="181"/>
      <c r="G4" s="182"/>
    </row>
    <row r="5" spans="1:7" x14ac:dyDescent="0.25">
      <c r="A5" s="208" t="s">
        <v>3142</v>
      </c>
      <c r="B5" s="204" t="str">
        <f>ANIO5R</f>
        <v>2015 ¹ (c)</v>
      </c>
      <c r="C5" s="204" t="str">
        <f>ANIO4R</f>
        <v>2016 ¹ (c)</v>
      </c>
      <c r="D5" s="204" t="str">
        <f>ANIO3R</f>
        <v>2017 ¹ (c)</v>
      </c>
      <c r="E5" s="204" t="str">
        <f>ANIO2R</f>
        <v>2018 ¹ (c)</v>
      </c>
      <c r="F5" s="204" t="str">
        <f>ANIO1R</f>
        <v>2019 ¹ (c)</v>
      </c>
      <c r="G5" s="51">
        <f>ANIO_INFORME</f>
        <v>2020</v>
      </c>
    </row>
    <row r="6" spans="1:7" ht="32.1" customHeight="1" x14ac:dyDescent="0.25">
      <c r="A6" s="209"/>
      <c r="B6" s="205"/>
      <c r="C6" s="205"/>
      <c r="D6" s="205"/>
      <c r="E6" s="205"/>
      <c r="F6" s="205"/>
      <c r="G6" s="85" t="s">
        <v>3295</v>
      </c>
    </row>
    <row r="7" spans="1:7" x14ac:dyDescent="0.25">
      <c r="A7" s="52" t="s">
        <v>492</v>
      </c>
      <c r="B7" s="59">
        <f t="shared" ref="B7:G7" si="0">SUM(B8:B16)</f>
        <v>6.75</v>
      </c>
      <c r="C7" s="59">
        <f t="shared" si="0"/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6.75</v>
      </c>
      <c r="C18" s="61">
        <f t="shared" si="1"/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13.5</v>
      </c>
      <c r="C29" s="60">
        <f t="shared" si="2"/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7"/>
    </row>
    <row r="32" spans="1:7" x14ac:dyDescent="0.25">
      <c r="A32" s="203" t="s">
        <v>3292</v>
      </c>
      <c r="B32" s="203"/>
      <c r="C32" s="203"/>
      <c r="D32" s="203"/>
      <c r="E32" s="203"/>
      <c r="F32" s="203"/>
      <c r="G32" s="203"/>
    </row>
    <row r="33" spans="1:7" x14ac:dyDescent="0.25">
      <c r="A33" s="203" t="s">
        <v>3293</v>
      </c>
      <c r="B33" s="203"/>
      <c r="C33" s="203"/>
      <c r="D33" s="203"/>
      <c r="E33" s="203"/>
      <c r="F33" s="203"/>
      <c r="G33" s="203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7"/>
  <sheetViews>
    <sheetView showGridLines="0" topLeftCell="A5" zoomScale="90" zoomScaleNormal="90" workbookViewId="0">
      <selection activeCell="A19" sqref="A19"/>
    </sheetView>
  </sheetViews>
  <sheetFormatPr baseColWidth="10" defaultColWidth="0" defaultRowHeight="15" zeroHeight="1" x14ac:dyDescent="0.25"/>
  <cols>
    <col min="1" max="1" width="72.140625" style="1" customWidth="1"/>
    <col min="2" max="6" width="20.7109375" customWidth="1"/>
    <col min="7" max="7" width="0" hidden="1" customWidth="1"/>
  </cols>
  <sheetData>
    <row r="1" spans="1:7" s="88" customFormat="1" ht="34.5" customHeight="1" x14ac:dyDescent="0.25">
      <c r="A1" s="183" t="s">
        <v>495</v>
      </c>
      <c r="B1" s="183"/>
      <c r="C1" s="183"/>
      <c r="D1" s="183"/>
      <c r="E1" s="183"/>
      <c r="F1" s="183"/>
      <c r="G1" s="108"/>
    </row>
    <row r="2" spans="1:7" x14ac:dyDescent="0.25">
      <c r="A2" s="171" t="str">
        <f>ENTE_PUBLICO</f>
        <v>MUNICIPIO DE TIERRA BLANCA, GUANAJUATO, Gobierno del Estado de Guanajuato</v>
      </c>
      <c r="B2" s="172"/>
      <c r="C2" s="172"/>
      <c r="D2" s="172"/>
      <c r="E2" s="172"/>
      <c r="F2" s="173"/>
    </row>
    <row r="3" spans="1:7" x14ac:dyDescent="0.25">
      <c r="A3" s="180" t="s">
        <v>496</v>
      </c>
      <c r="B3" s="181"/>
      <c r="C3" s="181"/>
      <c r="D3" s="181"/>
      <c r="E3" s="181"/>
      <c r="F3" s="182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1" t="s">
        <v>502</v>
      </c>
      <c r="B5" s="5"/>
      <c r="C5" s="5"/>
      <c r="D5" s="5"/>
      <c r="E5" s="5"/>
      <c r="F5" s="5"/>
    </row>
    <row r="6" spans="1:7" ht="30" x14ac:dyDescent="0.25">
      <c r="A6" s="132" t="s">
        <v>503</v>
      </c>
      <c r="B6" s="60"/>
      <c r="C6" s="60"/>
      <c r="D6" s="60"/>
      <c r="E6" s="60"/>
      <c r="F6" s="60"/>
    </row>
    <row r="7" spans="1:7" x14ac:dyDescent="0.25">
      <c r="A7" s="132" t="s">
        <v>504</v>
      </c>
      <c r="B7" s="60"/>
      <c r="C7" s="60"/>
      <c r="D7" s="60"/>
      <c r="E7" s="60"/>
      <c r="F7" s="60"/>
    </row>
    <row r="8" spans="1:7" x14ac:dyDescent="0.25">
      <c r="A8" s="133"/>
      <c r="B8" s="54"/>
      <c r="C8" s="54"/>
      <c r="D8" s="54"/>
      <c r="E8" s="54"/>
      <c r="F8" s="54"/>
    </row>
    <row r="9" spans="1:7" x14ac:dyDescent="0.25">
      <c r="A9" s="131" t="s">
        <v>505</v>
      </c>
      <c r="B9" s="54"/>
      <c r="C9" s="54"/>
      <c r="D9" s="54"/>
      <c r="E9" s="54"/>
      <c r="F9" s="54"/>
    </row>
    <row r="10" spans="1:7" x14ac:dyDescent="0.25">
      <c r="A10" s="132" t="s">
        <v>506</v>
      </c>
      <c r="B10" s="60"/>
      <c r="C10" s="60"/>
      <c r="D10" s="60"/>
      <c r="E10" s="60"/>
      <c r="F10" s="60"/>
    </row>
    <row r="11" spans="1:7" x14ac:dyDescent="0.25">
      <c r="A11" s="134" t="s">
        <v>507</v>
      </c>
      <c r="B11" s="60"/>
      <c r="C11" s="60"/>
      <c r="D11" s="60"/>
      <c r="E11" s="60"/>
      <c r="F11" s="60"/>
    </row>
    <row r="12" spans="1:7" x14ac:dyDescent="0.25">
      <c r="A12" s="134" t="s">
        <v>508</v>
      </c>
      <c r="B12" s="60"/>
      <c r="C12" s="60"/>
      <c r="D12" s="60"/>
      <c r="E12" s="60"/>
      <c r="F12" s="60"/>
    </row>
    <row r="13" spans="1:7" x14ac:dyDescent="0.25">
      <c r="A13" s="134" t="s">
        <v>509</v>
      </c>
      <c r="B13" s="60"/>
      <c r="C13" s="60"/>
      <c r="D13" s="60"/>
      <c r="E13" s="60"/>
      <c r="F13" s="60"/>
    </row>
    <row r="14" spans="1:7" x14ac:dyDescent="0.25">
      <c r="A14" s="132" t="s">
        <v>510</v>
      </c>
      <c r="B14" s="60"/>
      <c r="C14" s="60"/>
      <c r="D14" s="60"/>
      <c r="E14" s="60"/>
      <c r="F14" s="60"/>
    </row>
    <row r="15" spans="1:7" x14ac:dyDescent="0.25">
      <c r="A15" s="134" t="s">
        <v>507</v>
      </c>
      <c r="B15" s="60"/>
      <c r="C15" s="60"/>
      <c r="D15" s="60"/>
      <c r="E15" s="60"/>
      <c r="F15" s="60"/>
    </row>
    <row r="16" spans="1:7" x14ac:dyDescent="0.25">
      <c r="A16" s="134" t="s">
        <v>508</v>
      </c>
      <c r="B16" s="60"/>
      <c r="C16" s="60"/>
      <c r="D16" s="60"/>
      <c r="E16" s="60"/>
      <c r="F16" s="60"/>
    </row>
    <row r="17" spans="1:6" x14ac:dyDescent="0.25">
      <c r="A17" s="134" t="s">
        <v>509</v>
      </c>
      <c r="B17" s="60"/>
      <c r="C17" s="60"/>
      <c r="D17" s="60"/>
      <c r="E17" s="60"/>
      <c r="F17" s="60"/>
    </row>
    <row r="18" spans="1:6" x14ac:dyDescent="0.25">
      <c r="A18" s="132" t="s">
        <v>511</v>
      </c>
      <c r="B18" s="140"/>
      <c r="C18" s="60"/>
      <c r="D18" s="60"/>
      <c r="E18" s="60"/>
      <c r="F18" s="60"/>
    </row>
    <row r="19" spans="1:6" x14ac:dyDescent="0.25">
      <c r="A19" s="132" t="s">
        <v>512</v>
      </c>
      <c r="B19" s="60"/>
      <c r="C19" s="60"/>
      <c r="D19" s="60"/>
      <c r="E19" s="60"/>
      <c r="F19" s="60"/>
    </row>
    <row r="20" spans="1:6" x14ac:dyDescent="0.25">
      <c r="A20" s="132" t="s">
        <v>513</v>
      </c>
      <c r="B20" s="141"/>
      <c r="C20" s="141"/>
      <c r="D20" s="141"/>
      <c r="E20" s="141"/>
      <c r="F20" s="141"/>
    </row>
    <row r="21" spans="1:6" x14ac:dyDescent="0.25">
      <c r="A21" s="132" t="s">
        <v>514</v>
      </c>
      <c r="B21" s="141"/>
      <c r="C21" s="141"/>
      <c r="D21" s="141"/>
      <c r="E21" s="141"/>
      <c r="F21" s="141"/>
    </row>
    <row r="22" spans="1:6" x14ac:dyDescent="0.25">
      <c r="A22" s="64" t="s">
        <v>515</v>
      </c>
      <c r="B22" s="141"/>
      <c r="C22" s="141"/>
      <c r="D22" s="141"/>
      <c r="E22" s="141"/>
      <c r="F22" s="141"/>
    </row>
    <row r="23" spans="1:6" x14ac:dyDescent="0.25">
      <c r="A23" s="64" t="s">
        <v>516</v>
      </c>
      <c r="B23" s="141"/>
      <c r="C23" s="141"/>
      <c r="D23" s="141"/>
      <c r="E23" s="141"/>
      <c r="F23" s="141"/>
    </row>
    <row r="24" spans="1:6" x14ac:dyDescent="0.25">
      <c r="A24" s="64" t="s">
        <v>517</v>
      </c>
      <c r="B24" s="142"/>
      <c r="C24" s="60"/>
      <c r="D24" s="60"/>
      <c r="E24" s="60"/>
      <c r="F24" s="60"/>
    </row>
    <row r="25" spans="1:6" x14ac:dyDescent="0.25">
      <c r="A25" s="132" t="s">
        <v>518</v>
      </c>
      <c r="B25" s="142"/>
      <c r="C25" s="60"/>
      <c r="D25" s="60"/>
      <c r="E25" s="60"/>
      <c r="F25" s="60"/>
    </row>
    <row r="26" spans="1:6" x14ac:dyDescent="0.25">
      <c r="A26" s="133"/>
      <c r="B26" s="54"/>
      <c r="C26" s="54"/>
      <c r="D26" s="54"/>
      <c r="E26" s="54"/>
      <c r="F26" s="54"/>
    </row>
    <row r="27" spans="1:6" x14ac:dyDescent="0.25">
      <c r="A27" s="131" t="s">
        <v>519</v>
      </c>
      <c r="B27" s="54"/>
      <c r="C27" s="54"/>
      <c r="D27" s="54"/>
      <c r="E27" s="54"/>
      <c r="F27" s="54"/>
    </row>
    <row r="28" spans="1:6" x14ac:dyDescent="0.25">
      <c r="A28" s="132" t="s">
        <v>520</v>
      </c>
      <c r="B28" s="60"/>
      <c r="C28" s="60"/>
      <c r="D28" s="60"/>
      <c r="E28" s="60"/>
      <c r="F28" s="60"/>
    </row>
    <row r="29" spans="1:6" x14ac:dyDescent="0.25">
      <c r="A29" s="133"/>
      <c r="B29" s="54"/>
      <c r="C29" s="54"/>
      <c r="D29" s="54"/>
      <c r="E29" s="54"/>
      <c r="F29" s="54"/>
    </row>
    <row r="30" spans="1:6" x14ac:dyDescent="0.25">
      <c r="A30" s="131" t="s">
        <v>521</v>
      </c>
      <c r="B30" s="54"/>
      <c r="C30" s="54"/>
      <c r="D30" s="54"/>
      <c r="E30" s="54"/>
      <c r="F30" s="54"/>
    </row>
    <row r="31" spans="1:6" x14ac:dyDescent="0.25">
      <c r="A31" s="132" t="s">
        <v>506</v>
      </c>
      <c r="B31" s="60"/>
      <c r="C31" s="60"/>
      <c r="D31" s="60"/>
      <c r="E31" s="60"/>
      <c r="F31" s="60"/>
    </row>
    <row r="32" spans="1:6" x14ac:dyDescent="0.25">
      <c r="A32" s="132" t="s">
        <v>510</v>
      </c>
      <c r="B32" s="60"/>
      <c r="C32" s="60"/>
      <c r="D32" s="60"/>
      <c r="E32" s="60"/>
      <c r="F32" s="60"/>
    </row>
    <row r="33" spans="1:6" x14ac:dyDescent="0.25">
      <c r="A33" s="132" t="s">
        <v>522</v>
      </c>
      <c r="B33" s="60"/>
      <c r="C33" s="60"/>
      <c r="D33" s="60"/>
      <c r="E33" s="60"/>
      <c r="F33" s="60"/>
    </row>
    <row r="34" spans="1:6" x14ac:dyDescent="0.25">
      <c r="A34" s="133"/>
      <c r="B34" s="54"/>
      <c r="C34" s="54"/>
      <c r="D34" s="54"/>
      <c r="E34" s="54"/>
      <c r="F34" s="54"/>
    </row>
    <row r="35" spans="1:6" x14ac:dyDescent="0.25">
      <c r="A35" s="131" t="s">
        <v>523</v>
      </c>
      <c r="B35" s="54"/>
      <c r="C35" s="54"/>
      <c r="D35" s="54"/>
      <c r="E35" s="54"/>
      <c r="F35" s="54"/>
    </row>
    <row r="36" spans="1:6" x14ac:dyDescent="0.25">
      <c r="A36" s="132" t="s">
        <v>524</v>
      </c>
      <c r="B36" s="60"/>
      <c r="C36" s="60"/>
      <c r="D36" s="60"/>
      <c r="E36" s="60"/>
      <c r="F36" s="60"/>
    </row>
    <row r="37" spans="1:6" x14ac:dyDescent="0.25">
      <c r="A37" s="132" t="s">
        <v>525</v>
      </c>
      <c r="B37" s="60"/>
      <c r="C37" s="60"/>
      <c r="D37" s="60"/>
      <c r="E37" s="60"/>
      <c r="F37" s="60"/>
    </row>
    <row r="38" spans="1:6" x14ac:dyDescent="0.25">
      <c r="A38" s="132" t="s">
        <v>526</v>
      </c>
      <c r="B38" s="142"/>
      <c r="C38" s="60"/>
      <c r="D38" s="60"/>
      <c r="E38" s="60"/>
      <c r="F38" s="60"/>
    </row>
    <row r="39" spans="1:6" x14ac:dyDescent="0.25">
      <c r="A39" s="133"/>
      <c r="B39" s="54"/>
      <c r="C39" s="54"/>
      <c r="D39" s="54"/>
      <c r="E39" s="54"/>
      <c r="F39" s="54"/>
    </row>
    <row r="40" spans="1:6" x14ac:dyDescent="0.25">
      <c r="A40" s="131" t="s">
        <v>527</v>
      </c>
      <c r="B40" s="60"/>
      <c r="C40" s="60"/>
      <c r="D40" s="60"/>
      <c r="E40" s="60"/>
      <c r="F40" s="60"/>
    </row>
    <row r="41" spans="1:6" x14ac:dyDescent="0.25">
      <c r="A41" s="133"/>
      <c r="B41" s="54"/>
      <c r="C41" s="54"/>
      <c r="D41" s="54"/>
      <c r="E41" s="54"/>
      <c r="F41" s="54"/>
    </row>
    <row r="42" spans="1:6" x14ac:dyDescent="0.25">
      <c r="A42" s="131" t="s">
        <v>528</v>
      </c>
      <c r="B42" s="54"/>
      <c r="C42" s="54"/>
      <c r="D42" s="54"/>
      <c r="E42" s="54"/>
      <c r="F42" s="54"/>
    </row>
    <row r="43" spans="1:6" x14ac:dyDescent="0.25">
      <c r="A43" s="132" t="s">
        <v>529</v>
      </c>
      <c r="B43" s="60"/>
      <c r="C43" s="60"/>
      <c r="D43" s="60"/>
      <c r="E43" s="60"/>
      <c r="F43" s="60"/>
    </row>
    <row r="44" spans="1:6" x14ac:dyDescent="0.25">
      <c r="A44" s="132" t="s">
        <v>530</v>
      </c>
      <c r="B44" s="60"/>
      <c r="C44" s="60"/>
      <c r="D44" s="60"/>
      <c r="E44" s="60"/>
      <c r="F44" s="60"/>
    </row>
    <row r="45" spans="1:6" x14ac:dyDescent="0.25">
      <c r="A45" s="132" t="s">
        <v>531</v>
      </c>
      <c r="B45" s="60"/>
      <c r="C45" s="60"/>
      <c r="D45" s="60"/>
      <c r="E45" s="60"/>
      <c r="F45" s="60"/>
    </row>
    <row r="46" spans="1:6" x14ac:dyDescent="0.25">
      <c r="A46" s="133"/>
      <c r="B46" s="54"/>
      <c r="C46" s="54"/>
      <c r="D46" s="54"/>
      <c r="E46" s="54"/>
      <c r="F46" s="54"/>
    </row>
    <row r="47" spans="1:6" ht="30" x14ac:dyDescent="0.25">
      <c r="A47" s="131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1"/>
      <c r="C48" s="141"/>
      <c r="D48" s="141"/>
      <c r="E48" s="141"/>
      <c r="F48" s="141"/>
    </row>
    <row r="49" spans="1:6" x14ac:dyDescent="0.25">
      <c r="A49" s="64" t="s">
        <v>531</v>
      </c>
      <c r="B49" s="141"/>
      <c r="C49" s="141"/>
      <c r="D49" s="141"/>
      <c r="E49" s="141"/>
      <c r="F49" s="141"/>
    </row>
    <row r="50" spans="1:6" x14ac:dyDescent="0.25">
      <c r="A50" s="133"/>
      <c r="B50" s="54"/>
      <c r="C50" s="54"/>
      <c r="D50" s="54"/>
      <c r="E50" s="54"/>
      <c r="F50" s="54"/>
    </row>
    <row r="51" spans="1:6" x14ac:dyDescent="0.25">
      <c r="A51" s="131" t="s">
        <v>533</v>
      </c>
      <c r="B51" s="54"/>
      <c r="C51" s="54"/>
      <c r="D51" s="54"/>
      <c r="E51" s="54"/>
      <c r="F51" s="54"/>
    </row>
    <row r="52" spans="1:6" x14ac:dyDescent="0.25">
      <c r="A52" s="132" t="s">
        <v>530</v>
      </c>
      <c r="B52" s="60"/>
      <c r="C52" s="60"/>
      <c r="D52" s="60"/>
      <c r="E52" s="60"/>
      <c r="F52" s="60"/>
    </row>
    <row r="53" spans="1:6" x14ac:dyDescent="0.25">
      <c r="A53" s="132" t="s">
        <v>531</v>
      </c>
      <c r="B53" s="60"/>
      <c r="C53" s="60"/>
      <c r="D53" s="60"/>
      <c r="E53" s="60"/>
      <c r="F53" s="60"/>
    </row>
    <row r="54" spans="1:6" x14ac:dyDescent="0.25">
      <c r="A54" s="132" t="s">
        <v>534</v>
      </c>
      <c r="B54" s="60"/>
      <c r="C54" s="60"/>
      <c r="D54" s="60"/>
      <c r="E54" s="60"/>
      <c r="F54" s="60"/>
    </row>
    <row r="55" spans="1:6" x14ac:dyDescent="0.25">
      <c r="A55" s="133"/>
      <c r="B55" s="54"/>
      <c r="C55" s="54"/>
      <c r="D55" s="54"/>
      <c r="E55" s="54"/>
      <c r="F55" s="54"/>
    </row>
    <row r="56" spans="1:6" x14ac:dyDescent="0.25">
      <c r="A56" s="131" t="s">
        <v>535</v>
      </c>
      <c r="B56" s="54"/>
      <c r="C56" s="54"/>
      <c r="D56" s="54"/>
      <c r="E56" s="54"/>
      <c r="F56" s="54"/>
    </row>
    <row r="57" spans="1:6" x14ac:dyDescent="0.25">
      <c r="A57" s="132" t="s">
        <v>530</v>
      </c>
      <c r="B57" s="60"/>
      <c r="C57" s="60"/>
      <c r="D57" s="60"/>
      <c r="E57" s="60"/>
      <c r="F57" s="60"/>
    </row>
    <row r="58" spans="1:6" x14ac:dyDescent="0.25">
      <c r="A58" s="132" t="s">
        <v>531</v>
      </c>
      <c r="B58" s="60"/>
      <c r="C58" s="60"/>
      <c r="D58" s="60"/>
      <c r="E58" s="60"/>
      <c r="F58" s="60"/>
    </row>
    <row r="59" spans="1:6" x14ac:dyDescent="0.25">
      <c r="A59" s="133"/>
      <c r="B59" s="54"/>
      <c r="C59" s="54"/>
      <c r="D59" s="54"/>
      <c r="E59" s="54"/>
      <c r="F59" s="54"/>
    </row>
    <row r="60" spans="1:6" x14ac:dyDescent="0.25">
      <c r="A60" s="131" t="s">
        <v>536</v>
      </c>
      <c r="B60" s="54"/>
      <c r="C60" s="54"/>
      <c r="D60" s="54"/>
      <c r="E60" s="54"/>
      <c r="F60" s="54"/>
    </row>
    <row r="61" spans="1:6" x14ac:dyDescent="0.25">
      <c r="A61" s="132" t="s">
        <v>537</v>
      </c>
      <c r="B61" s="60"/>
      <c r="C61" s="60"/>
      <c r="D61" s="60"/>
      <c r="E61" s="60"/>
      <c r="F61" s="60"/>
    </row>
    <row r="62" spans="1:6" x14ac:dyDescent="0.25">
      <c r="A62" s="132" t="s">
        <v>538</v>
      </c>
      <c r="B62" s="142"/>
      <c r="C62" s="60"/>
      <c r="D62" s="60"/>
      <c r="E62" s="60"/>
      <c r="F62" s="60"/>
    </row>
    <row r="63" spans="1:6" x14ac:dyDescent="0.25">
      <c r="A63" s="133"/>
      <c r="B63" s="54"/>
      <c r="C63" s="54"/>
      <c r="D63" s="54"/>
      <c r="E63" s="54"/>
      <c r="F63" s="54"/>
    </row>
    <row r="64" spans="1:6" x14ac:dyDescent="0.25">
      <c r="A64" s="131" t="s">
        <v>539</v>
      </c>
      <c r="B64" s="54"/>
      <c r="C64" s="54"/>
      <c r="D64" s="54"/>
      <c r="E64" s="54"/>
      <c r="F64" s="54"/>
    </row>
    <row r="65" spans="1:6" x14ac:dyDescent="0.25">
      <c r="A65" s="132" t="s">
        <v>540</v>
      </c>
      <c r="B65" s="60"/>
      <c r="C65" s="60"/>
      <c r="D65" s="60"/>
      <c r="E65" s="60"/>
      <c r="F65" s="60"/>
    </row>
    <row r="66" spans="1:6" x14ac:dyDescent="0.25">
      <c r="A66" s="132" t="s">
        <v>541</v>
      </c>
      <c r="B66" s="60"/>
      <c r="C66" s="60"/>
      <c r="D66" s="60"/>
      <c r="E66" s="60"/>
      <c r="F66" s="60"/>
    </row>
    <row r="67" spans="1:6" x14ac:dyDescent="0.25">
      <c r="A67" s="137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2021-02-08T20:12:11Z</dcterms:modified>
</cp:coreProperties>
</file>