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00000000-0000-0000-0000-000000000000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firstSheet="5" activeTab="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B19" i="8" l="1"/>
  <c r="B93" i="6"/>
  <c r="C93" i="6"/>
  <c r="D93" i="6"/>
  <c r="E93" i="6"/>
  <c r="F93" i="6"/>
  <c r="B62" i="6"/>
  <c r="C62" i="6"/>
  <c r="D62" i="6"/>
  <c r="E62" i="6"/>
  <c r="F62" i="6"/>
  <c r="B47" i="1" l="1"/>
  <c r="C137" i="6" l="1"/>
  <c r="D137" i="6"/>
  <c r="E137" i="6"/>
  <c r="S129" i="24" s="1"/>
  <c r="F137" i="6"/>
  <c r="T129" i="24" s="1"/>
  <c r="B137" i="6"/>
  <c r="B8" i="10"/>
  <c r="C6" i="23"/>
  <c r="C7" i="23" s="1"/>
  <c r="B9" i="1"/>
  <c r="H25" i="23"/>
  <c r="G25" i="23"/>
  <c r="F25" i="23"/>
  <c r="E25" i="23"/>
  <c r="D25" i="23"/>
  <c r="G30" i="9"/>
  <c r="G28" i="9" s="1"/>
  <c r="U20" i="27" s="1"/>
  <c r="G31" i="9"/>
  <c r="U23" i="27" s="1"/>
  <c r="G29" i="9"/>
  <c r="G26" i="9"/>
  <c r="G27" i="9"/>
  <c r="G25" i="9"/>
  <c r="G24" i="9" s="1"/>
  <c r="U16" i="27" s="1"/>
  <c r="G23" i="9"/>
  <c r="G22" i="9"/>
  <c r="G19" i="9"/>
  <c r="G18" i="9"/>
  <c r="U11" i="27" s="1"/>
  <c r="G17" i="9"/>
  <c r="G14" i="9"/>
  <c r="G15" i="9"/>
  <c r="U8" i="27" s="1"/>
  <c r="G13" i="9"/>
  <c r="U6" i="27" s="1"/>
  <c r="G11" i="9"/>
  <c r="G10" i="9"/>
  <c r="U3" i="27" s="1"/>
  <c r="G73" i="8"/>
  <c r="U65" i="26" s="1"/>
  <c r="G74" i="8"/>
  <c r="G75" i="8"/>
  <c r="G72" i="8"/>
  <c r="G71" i="8"/>
  <c r="G63" i="8"/>
  <c r="U55" i="26" s="1"/>
  <c r="G64" i="8"/>
  <c r="U56" i="26" s="1"/>
  <c r="G65" i="8"/>
  <c r="G66" i="8"/>
  <c r="G67" i="8"/>
  <c r="G68" i="8"/>
  <c r="U60" i="26" s="1"/>
  <c r="G69" i="8"/>
  <c r="G70" i="8"/>
  <c r="U62" i="26" s="1"/>
  <c r="G62" i="8"/>
  <c r="G55" i="8"/>
  <c r="U47" i="26" s="1"/>
  <c r="G56" i="8"/>
  <c r="U48" i="26" s="1"/>
  <c r="G57" i="8"/>
  <c r="U49" i="26" s="1"/>
  <c r="G58" i="8"/>
  <c r="G59" i="8"/>
  <c r="U51" i="26" s="1"/>
  <c r="G60" i="8"/>
  <c r="U52" i="26" s="1"/>
  <c r="G54" i="8"/>
  <c r="G46" i="8"/>
  <c r="U38" i="26" s="1"/>
  <c r="G47" i="8"/>
  <c r="U39" i="26" s="1"/>
  <c r="G48" i="8"/>
  <c r="G49" i="8"/>
  <c r="U41" i="26" s="1"/>
  <c r="G50" i="8"/>
  <c r="G51" i="8"/>
  <c r="G52" i="8"/>
  <c r="G45" i="8"/>
  <c r="U37" i="26" s="1"/>
  <c r="G39" i="8"/>
  <c r="U32" i="26" s="1"/>
  <c r="G40" i="8"/>
  <c r="G41" i="8"/>
  <c r="G38" i="8"/>
  <c r="U31" i="26" s="1"/>
  <c r="G11" i="8"/>
  <c r="U4" i="26" s="1"/>
  <c r="G12" i="8"/>
  <c r="U5" i="26" s="1"/>
  <c r="G13" i="8"/>
  <c r="U6" i="26" s="1"/>
  <c r="G14" i="8"/>
  <c r="U7" i="26" s="1"/>
  <c r="G15" i="8"/>
  <c r="U8" i="26" s="1"/>
  <c r="G16" i="8"/>
  <c r="U9" i="26" s="1"/>
  <c r="G17" i="8"/>
  <c r="U10" i="26" s="1"/>
  <c r="G18" i="8"/>
  <c r="U11" i="26" s="1"/>
  <c r="G20" i="8"/>
  <c r="U13" i="26" s="1"/>
  <c r="G21" i="8"/>
  <c r="G22" i="8"/>
  <c r="U15" i="26" s="1"/>
  <c r="G23" i="8"/>
  <c r="G24" i="8"/>
  <c r="U17" i="26" s="1"/>
  <c r="G25" i="8"/>
  <c r="G26" i="8"/>
  <c r="U19" i="26" s="1"/>
  <c r="G28" i="8"/>
  <c r="G29" i="8"/>
  <c r="G30" i="8"/>
  <c r="G31" i="8"/>
  <c r="G32" i="8"/>
  <c r="G33" i="8"/>
  <c r="G34" i="8"/>
  <c r="G35" i="8"/>
  <c r="G36" i="8"/>
  <c r="G37" i="8"/>
  <c r="U30" i="26" s="1"/>
  <c r="G21" i="7"/>
  <c r="G22" i="7"/>
  <c r="G23" i="7"/>
  <c r="G24" i="7"/>
  <c r="G25" i="7"/>
  <c r="G26" i="7"/>
  <c r="G27" i="7"/>
  <c r="G20" i="7"/>
  <c r="G19" i="7" s="1"/>
  <c r="U3" i="25" s="1"/>
  <c r="G11" i="7"/>
  <c r="G12" i="7"/>
  <c r="G13" i="7"/>
  <c r="G14" i="7"/>
  <c r="G15" i="7"/>
  <c r="G16" i="7"/>
  <c r="G17" i="7"/>
  <c r="G10" i="7"/>
  <c r="B10" i="6"/>
  <c r="P3" i="24" s="1"/>
  <c r="B18" i="6"/>
  <c r="B28" i="6"/>
  <c r="P21" i="24" s="1"/>
  <c r="B38" i="6"/>
  <c r="P31" i="24" s="1"/>
  <c r="B48" i="6"/>
  <c r="B58" i="6"/>
  <c r="B71" i="6"/>
  <c r="B75" i="6"/>
  <c r="G152" i="6"/>
  <c r="G153" i="6"/>
  <c r="G154" i="6"/>
  <c r="G155" i="6"/>
  <c r="G150" i="6" s="1"/>
  <c r="U142" i="24" s="1"/>
  <c r="G156" i="6"/>
  <c r="G157" i="6"/>
  <c r="G151" i="6"/>
  <c r="G148" i="6"/>
  <c r="G149" i="6"/>
  <c r="G147" i="6"/>
  <c r="G139" i="6"/>
  <c r="G140" i="6"/>
  <c r="U132" i="24" s="1"/>
  <c r="G141" i="6"/>
  <c r="G142" i="6"/>
  <c r="G143" i="6"/>
  <c r="G144" i="6"/>
  <c r="U136" i="24" s="1"/>
  <c r="G145" i="6"/>
  <c r="U137" i="24" s="1"/>
  <c r="G138" i="6"/>
  <c r="G135" i="6"/>
  <c r="G136" i="6"/>
  <c r="U128" i="24" s="1"/>
  <c r="G134" i="6"/>
  <c r="U126" i="24" s="1"/>
  <c r="G125" i="6"/>
  <c r="G126" i="6"/>
  <c r="G127" i="6"/>
  <c r="G123" i="6" s="1"/>
  <c r="U115" i="24" s="1"/>
  <c r="G128" i="6"/>
  <c r="G129" i="6"/>
  <c r="G130" i="6"/>
  <c r="G131" i="6"/>
  <c r="U123" i="24" s="1"/>
  <c r="G132" i="6"/>
  <c r="G124" i="6"/>
  <c r="G115" i="6"/>
  <c r="G116" i="6"/>
  <c r="G117" i="6"/>
  <c r="U109" i="24" s="1"/>
  <c r="G118" i="6"/>
  <c r="G119" i="6"/>
  <c r="G120" i="6"/>
  <c r="U112" i="24" s="1"/>
  <c r="G121" i="6"/>
  <c r="G122" i="6"/>
  <c r="G114" i="6"/>
  <c r="G105" i="6"/>
  <c r="U97" i="24" s="1"/>
  <c r="G106" i="6"/>
  <c r="U98" i="24" s="1"/>
  <c r="G107" i="6"/>
  <c r="G108" i="6"/>
  <c r="G109" i="6"/>
  <c r="U101" i="24" s="1"/>
  <c r="G110" i="6"/>
  <c r="U102" i="24" s="1"/>
  <c r="G111" i="6"/>
  <c r="G112" i="6"/>
  <c r="G104" i="6"/>
  <c r="G95" i="6"/>
  <c r="U87" i="24" s="1"/>
  <c r="G96" i="6"/>
  <c r="G97" i="6"/>
  <c r="G98" i="6"/>
  <c r="U90" i="24" s="1"/>
  <c r="G99" i="6"/>
  <c r="U91" i="24" s="1"/>
  <c r="G100" i="6"/>
  <c r="G101" i="6"/>
  <c r="G102" i="6"/>
  <c r="U94" i="24" s="1"/>
  <c r="G94" i="6"/>
  <c r="U86" i="24" s="1"/>
  <c r="G87" i="6"/>
  <c r="U79" i="24" s="1"/>
  <c r="G88" i="6"/>
  <c r="U80" i="24" s="1"/>
  <c r="G89" i="6"/>
  <c r="U81" i="24" s="1"/>
  <c r="G90" i="6"/>
  <c r="U82" i="24" s="1"/>
  <c r="G91" i="6"/>
  <c r="U83" i="24" s="1"/>
  <c r="G92" i="6"/>
  <c r="U84" i="24" s="1"/>
  <c r="G86" i="6"/>
  <c r="G77" i="6"/>
  <c r="G78" i="6"/>
  <c r="G79" i="6"/>
  <c r="G80" i="6"/>
  <c r="G81" i="6"/>
  <c r="G82" i="6"/>
  <c r="G76" i="6"/>
  <c r="G73" i="6"/>
  <c r="G74" i="6"/>
  <c r="U67" i="24" s="1"/>
  <c r="G72" i="6"/>
  <c r="G64" i="6"/>
  <c r="G65" i="6"/>
  <c r="U58" i="24" s="1"/>
  <c r="G66" i="6"/>
  <c r="U59" i="24" s="1"/>
  <c r="G67" i="6"/>
  <c r="G68" i="6"/>
  <c r="G69" i="6"/>
  <c r="G70" i="6"/>
  <c r="U63" i="24" s="1"/>
  <c r="G63" i="6"/>
  <c r="G60" i="6"/>
  <c r="G61" i="6"/>
  <c r="U54" i="24" s="1"/>
  <c r="G59" i="6"/>
  <c r="G50" i="6"/>
  <c r="G51" i="6"/>
  <c r="U44" i="24" s="1"/>
  <c r="G52" i="6"/>
  <c r="G53" i="6"/>
  <c r="G54" i="6"/>
  <c r="G55" i="6"/>
  <c r="G56" i="6"/>
  <c r="U49" i="24" s="1"/>
  <c r="G57" i="6"/>
  <c r="U50" i="24" s="1"/>
  <c r="G49" i="6"/>
  <c r="G40" i="6"/>
  <c r="G41" i="6"/>
  <c r="G38" i="6" s="1"/>
  <c r="U31" i="24" s="1"/>
  <c r="G42" i="6"/>
  <c r="G43" i="6"/>
  <c r="G44" i="6"/>
  <c r="G45" i="6"/>
  <c r="U38" i="24" s="1"/>
  <c r="G46" i="6"/>
  <c r="G47" i="6"/>
  <c r="G39" i="6"/>
  <c r="G30" i="6"/>
  <c r="U23" i="24" s="1"/>
  <c r="G31" i="6"/>
  <c r="G32" i="6"/>
  <c r="G33" i="6"/>
  <c r="U26" i="24" s="1"/>
  <c r="G34" i="6"/>
  <c r="U27" i="24" s="1"/>
  <c r="G35" i="6"/>
  <c r="G36" i="6"/>
  <c r="G37" i="6"/>
  <c r="U30" i="24" s="1"/>
  <c r="G29" i="6"/>
  <c r="U22" i="24" s="1"/>
  <c r="G20" i="6"/>
  <c r="G21" i="6"/>
  <c r="G22" i="6"/>
  <c r="U15" i="24" s="1"/>
  <c r="G23" i="6"/>
  <c r="U16" i="24" s="1"/>
  <c r="G24" i="6"/>
  <c r="G25" i="6"/>
  <c r="G26" i="6"/>
  <c r="U19" i="24" s="1"/>
  <c r="G27" i="6"/>
  <c r="U20" i="24" s="1"/>
  <c r="G19" i="6"/>
  <c r="G11" i="6"/>
  <c r="U4" i="24" s="1"/>
  <c r="B7" i="13"/>
  <c r="G12" i="6"/>
  <c r="G10" i="6" s="1"/>
  <c r="U3" i="24" s="1"/>
  <c r="G13" i="6"/>
  <c r="G14" i="6"/>
  <c r="G15" i="6"/>
  <c r="G16" i="6"/>
  <c r="U9" i="24" s="1"/>
  <c r="G17" i="6"/>
  <c r="G9" i="5"/>
  <c r="G10" i="5"/>
  <c r="G11" i="5"/>
  <c r="U5" i="20" s="1"/>
  <c r="G12" i="5"/>
  <c r="G13" i="5"/>
  <c r="G14" i="5"/>
  <c r="G15" i="5"/>
  <c r="U9" i="20" s="1"/>
  <c r="G17" i="5"/>
  <c r="G18" i="5"/>
  <c r="G19" i="5"/>
  <c r="G20" i="5"/>
  <c r="U14" i="20" s="1"/>
  <c r="G21" i="5"/>
  <c r="G22" i="5"/>
  <c r="G23" i="5"/>
  <c r="G24" i="5"/>
  <c r="U18" i="20" s="1"/>
  <c r="G25" i="5"/>
  <c r="G26" i="5"/>
  <c r="G27" i="5"/>
  <c r="G29" i="5"/>
  <c r="U23" i="20" s="1"/>
  <c r="G30" i="5"/>
  <c r="G31" i="5"/>
  <c r="G32" i="5"/>
  <c r="G33" i="5"/>
  <c r="U27" i="20" s="1"/>
  <c r="G34" i="5"/>
  <c r="G36" i="5"/>
  <c r="G35" i="5"/>
  <c r="U29" i="20" s="1"/>
  <c r="G38" i="5"/>
  <c r="G39" i="5"/>
  <c r="U33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 s="1"/>
  <c r="D18" i="13"/>
  <c r="R12" i="3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/>
  <c r="Q22" i="31" s="1"/>
  <c r="D7" i="13"/>
  <c r="D29" i="13"/>
  <c r="R22" i="31"/>
  <c r="E7" i="13"/>
  <c r="E29" i="13" s="1"/>
  <c r="S22" i="31" s="1"/>
  <c r="F7" i="13"/>
  <c r="G7" i="13"/>
  <c r="U2" i="31" s="1"/>
  <c r="G29" i="13"/>
  <c r="U22" i="31" s="1"/>
  <c r="Q2" i="31"/>
  <c r="R2" i="31"/>
  <c r="S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/>
  <c r="D21" i="12"/>
  <c r="R15" i="30" s="1"/>
  <c r="E21" i="12"/>
  <c r="S15" i="30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B31" i="12" s="1"/>
  <c r="P23" i="30" s="1"/>
  <c r="C7" i="12"/>
  <c r="D7" i="12"/>
  <c r="R2" i="30" s="1"/>
  <c r="D31" i="12"/>
  <c r="R23" i="30" s="1"/>
  <c r="E7" i="12"/>
  <c r="E31" i="12"/>
  <c r="S23" i="30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/>
  <c r="D36" i="12"/>
  <c r="R27" i="30" s="1"/>
  <c r="E36" i="12"/>
  <c r="S27" i="30"/>
  <c r="F36" i="12"/>
  <c r="T27" i="30" s="1"/>
  <c r="G36" i="12"/>
  <c r="U27" i="30"/>
  <c r="S2" i="30"/>
  <c r="T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/>
  <c r="E19" i="11"/>
  <c r="S12" i="29" s="1"/>
  <c r="F19" i="11"/>
  <c r="T12" i="29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D30" i="11"/>
  <c r="R22" i="29" s="1"/>
  <c r="E8" i="11"/>
  <c r="E30" i="11"/>
  <c r="S22" i="29"/>
  <c r="F8" i="11"/>
  <c r="F30" i="11" s="1"/>
  <c r="T22" i="29" s="1"/>
  <c r="G8" i="11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 s="1"/>
  <c r="E8" i="10"/>
  <c r="S2" i="28"/>
  <c r="F8" i="10"/>
  <c r="T2" i="28" s="1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 s="1"/>
  <c r="E22" i="10"/>
  <c r="S15" i="28"/>
  <c r="F22" i="10"/>
  <c r="T15" i="28" s="1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D32" i="10" s="1"/>
  <c r="R23" i="28" s="1"/>
  <c r="R21" i="28"/>
  <c r="E29" i="10"/>
  <c r="S21" i="28" s="1"/>
  <c r="F29" i="10"/>
  <c r="F32" i="10" s="1"/>
  <c r="T23" i="28" s="1"/>
  <c r="T21" i="28"/>
  <c r="G29" i="10"/>
  <c r="U21" i="28" s="1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 s="1"/>
  <c r="F37" i="10"/>
  <c r="T27" i="28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B32" i="10"/>
  <c r="P23" i="28" s="1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 s="1"/>
  <c r="D9" i="9"/>
  <c r="R2" i="27" s="1"/>
  <c r="D16" i="9"/>
  <c r="E9" i="9"/>
  <c r="S2" i="27" s="1"/>
  <c r="E16" i="9"/>
  <c r="S9" i="27" s="1"/>
  <c r="F16" i="9"/>
  <c r="F9" i="9"/>
  <c r="T2" i="27" s="1"/>
  <c r="Q3" i="27"/>
  <c r="R3" i="27"/>
  <c r="S3" i="27"/>
  <c r="T3" i="27"/>
  <c r="Q4" i="27"/>
  <c r="R4" i="27"/>
  <c r="S4" i="27"/>
  <c r="T4" i="27"/>
  <c r="U4" i="27"/>
  <c r="Q5" i="27"/>
  <c r="R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Q9" i="27"/>
  <c r="R9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D28" i="9"/>
  <c r="R20" i="27" s="1"/>
  <c r="E24" i="9"/>
  <c r="E21" i="9" s="1"/>
  <c r="E28" i="9"/>
  <c r="F24" i="9"/>
  <c r="F28" i="9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S20" i="27"/>
  <c r="T20" i="27"/>
  <c r="Q21" i="27"/>
  <c r="R21" i="27"/>
  <c r="S21" i="27"/>
  <c r="T21" i="27"/>
  <c r="U21" i="27"/>
  <c r="Q22" i="27"/>
  <c r="R22" i="27"/>
  <c r="S22" i="27"/>
  <c r="T22" i="27"/>
  <c r="Q23" i="27"/>
  <c r="R23" i="27"/>
  <c r="S23" i="27"/>
  <c r="T23" i="27"/>
  <c r="P3" i="27"/>
  <c r="P4" i="27"/>
  <c r="P5" i="27"/>
  <c r="P6" i="27"/>
  <c r="P7" i="27"/>
  <c r="P8" i="27"/>
  <c r="B16" i="9"/>
  <c r="B9" i="9" s="1"/>
  <c r="P2" i="27" s="1"/>
  <c r="P10" i="27"/>
  <c r="P11" i="27"/>
  <c r="P12" i="27"/>
  <c r="B24" i="9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C19" i="8"/>
  <c r="Q12" i="26" s="1"/>
  <c r="C27" i="8"/>
  <c r="Q20" i="26" s="1"/>
  <c r="C37" i="8"/>
  <c r="D10" i="8"/>
  <c r="R3" i="26" s="1"/>
  <c r="D19" i="8"/>
  <c r="R12" i="26" s="1"/>
  <c r="D27" i="8"/>
  <c r="R20" i="26" s="1"/>
  <c r="D37" i="8"/>
  <c r="E10" i="8"/>
  <c r="S3" i="26" s="1"/>
  <c r="E19" i="8"/>
  <c r="S12" i="26" s="1"/>
  <c r="E27" i="8"/>
  <c r="S20" i="26" s="1"/>
  <c r="E37" i="8"/>
  <c r="F10" i="8"/>
  <c r="T3" i="26" s="1"/>
  <c r="F19" i="8"/>
  <c r="T12" i="26" s="1"/>
  <c r="F27" i="8"/>
  <c r="T20" i="26" s="1"/>
  <c r="F37" i="8"/>
  <c r="T30" i="26" s="1"/>
  <c r="Q3" i="26"/>
  <c r="Q4" i="26"/>
  <c r="R4" i="26"/>
  <c r="S4" i="26"/>
  <c r="T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Q9" i="26"/>
  <c r="R9" i="26"/>
  <c r="S9" i="26"/>
  <c r="T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Q45" i="26" s="1"/>
  <c r="C61" i="8"/>
  <c r="D44" i="8"/>
  <c r="D53" i="8"/>
  <c r="R45" i="26" s="1"/>
  <c r="D61" i="8"/>
  <c r="R53" i="26" s="1"/>
  <c r="E44" i="8"/>
  <c r="S36" i="26" s="1"/>
  <c r="E53" i="8"/>
  <c r="S45" i="26" s="1"/>
  <c r="E61" i="8"/>
  <c r="S63" i="26"/>
  <c r="F44" i="8"/>
  <c r="F53" i="8"/>
  <c r="T45" i="26" s="1"/>
  <c r="F61" i="8"/>
  <c r="T53" i="26" s="1"/>
  <c r="T63" i="26"/>
  <c r="R36" i="26"/>
  <c r="T36" i="26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Q53" i="26"/>
  <c r="S53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Q63" i="26"/>
  <c r="R63" i="26"/>
  <c r="U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P63" i="26"/>
  <c r="B10" i="8"/>
  <c r="P12" i="26"/>
  <c r="B27" i="8"/>
  <c r="P20" i="26" s="1"/>
  <c r="B37" i="8"/>
  <c r="P30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R2" i="25" s="1"/>
  <c r="D19" i="7"/>
  <c r="R3" i="25" s="1"/>
  <c r="C9" i="7"/>
  <c r="Q2" i="25" s="1"/>
  <c r="C19" i="7"/>
  <c r="Q3" i="25" s="1"/>
  <c r="B9" i="7"/>
  <c r="P2" i="25" s="1"/>
  <c r="B19" i="7"/>
  <c r="A3" i="25"/>
  <c r="A4" i="25"/>
  <c r="A2" i="25"/>
  <c r="A87" i="24"/>
  <c r="C85" i="6"/>
  <c r="C103" i="6"/>
  <c r="Q95" i="24" s="1"/>
  <c r="C113" i="6"/>
  <c r="Q105" i="24" s="1"/>
  <c r="C123" i="6"/>
  <c r="C133" i="6"/>
  <c r="Q125" i="24" s="1"/>
  <c r="C146" i="6"/>
  <c r="Q138" i="24" s="1"/>
  <c r="C150" i="6"/>
  <c r="D85" i="6"/>
  <c r="R77" i="24" s="1"/>
  <c r="D103" i="6"/>
  <c r="R95" i="24" s="1"/>
  <c r="D113" i="6"/>
  <c r="R105" i="24" s="1"/>
  <c r="D123" i="6"/>
  <c r="D133" i="6"/>
  <c r="R125" i="24" s="1"/>
  <c r="D146" i="6"/>
  <c r="R138" i="24" s="1"/>
  <c r="D150" i="6"/>
  <c r="R142" i="24" s="1"/>
  <c r="E85" i="6"/>
  <c r="S77" i="24" s="1"/>
  <c r="E103" i="6"/>
  <c r="S95" i="24" s="1"/>
  <c r="E113" i="6"/>
  <c r="S105" i="24" s="1"/>
  <c r="E123" i="6"/>
  <c r="E133" i="6"/>
  <c r="S125" i="24" s="1"/>
  <c r="E146" i="6"/>
  <c r="S138" i="24" s="1"/>
  <c r="E150" i="6"/>
  <c r="F85" i="6"/>
  <c r="F103" i="6"/>
  <c r="T95" i="24" s="1"/>
  <c r="F113" i="6"/>
  <c r="T105" i="24" s="1"/>
  <c r="F123" i="6"/>
  <c r="T115" i="24" s="1"/>
  <c r="F133" i="6"/>
  <c r="T125" i="24" s="1"/>
  <c r="F146" i="6"/>
  <c r="T138" i="24" s="1"/>
  <c r="F150" i="6"/>
  <c r="T142" i="24" s="1"/>
  <c r="Q77" i="24"/>
  <c r="T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Q83" i="24"/>
  <c r="R83" i="24"/>
  <c r="S83" i="24"/>
  <c r="T83" i="24"/>
  <c r="Q84" i="24"/>
  <c r="R84" i="24"/>
  <c r="S84" i="24"/>
  <c r="T84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Q124" i="24"/>
  <c r="R124" i="24"/>
  <c r="S124" i="24"/>
  <c r="T124" i="24"/>
  <c r="U124" i="24"/>
  <c r="Q126" i="24"/>
  <c r="R126" i="24"/>
  <c r="S126" i="24"/>
  <c r="T126" i="24"/>
  <c r="Q127" i="24"/>
  <c r="R127" i="24"/>
  <c r="S127" i="24"/>
  <c r="T127" i="24"/>
  <c r="U127" i="24"/>
  <c r="Q128" i="24"/>
  <c r="R128" i="24"/>
  <c r="S128" i="24"/>
  <c r="T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Q137" i="24"/>
  <c r="R137" i="24"/>
  <c r="S137" i="24"/>
  <c r="T137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Q11" i="24" s="1"/>
  <c r="C28" i="6"/>
  <c r="C38" i="6"/>
  <c r="Q31" i="24" s="1"/>
  <c r="C48" i="6"/>
  <c r="C58" i="6"/>
  <c r="Q51" i="24" s="1"/>
  <c r="C71" i="6"/>
  <c r="Q64" i="24" s="1"/>
  <c r="C75" i="6"/>
  <c r="D10" i="6"/>
  <c r="R3" i="24" s="1"/>
  <c r="D18" i="6"/>
  <c r="R11" i="24" s="1"/>
  <c r="D28" i="6"/>
  <c r="R21" i="24" s="1"/>
  <c r="D38" i="6"/>
  <c r="D48" i="6"/>
  <c r="R41" i="24" s="1"/>
  <c r="D58" i="6"/>
  <c r="R51" i="24" s="1"/>
  <c r="D71" i="6"/>
  <c r="D75" i="6"/>
  <c r="E10" i="6"/>
  <c r="E18" i="6"/>
  <c r="E28" i="6"/>
  <c r="S21" i="24" s="1"/>
  <c r="E38" i="6"/>
  <c r="S31" i="24" s="1"/>
  <c r="E48" i="6"/>
  <c r="S41" i="24" s="1"/>
  <c r="E58" i="6"/>
  <c r="S51" i="24" s="1"/>
  <c r="E71" i="6"/>
  <c r="E75" i="6"/>
  <c r="F10" i="6"/>
  <c r="F18" i="6"/>
  <c r="T11" i="24" s="1"/>
  <c r="F28" i="6"/>
  <c r="T21" i="24" s="1"/>
  <c r="F38" i="6"/>
  <c r="T31" i="24" s="1"/>
  <c r="F48" i="6"/>
  <c r="F58" i="6"/>
  <c r="T51" i="24" s="1"/>
  <c r="F71" i="6"/>
  <c r="T64" i="24" s="1"/>
  <c r="F75" i="6"/>
  <c r="G75" i="6"/>
  <c r="B85" i="6"/>
  <c r="P77" i="24" s="1"/>
  <c r="P85" i="24"/>
  <c r="B103" i="6"/>
  <c r="P95" i="24" s="1"/>
  <c r="B113" i="6"/>
  <c r="P105" i="24" s="1"/>
  <c r="B123" i="6"/>
  <c r="P115" i="24" s="1"/>
  <c r="B133" i="6"/>
  <c r="P125" i="24" s="1"/>
  <c r="B146" i="6"/>
  <c r="P138" i="24" s="1"/>
  <c r="B150" i="6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S3" i="24"/>
  <c r="T3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Q21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R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R64" i="24"/>
  <c r="S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6" i="20"/>
  <c r="U7" i="20"/>
  <c r="U8" i="20"/>
  <c r="U11" i="20"/>
  <c r="U12" i="20"/>
  <c r="U13" i="20"/>
  <c r="U15" i="20"/>
  <c r="U16" i="20"/>
  <c r="U17" i="20"/>
  <c r="U19" i="20"/>
  <c r="U20" i="20"/>
  <c r="U21" i="20"/>
  <c r="U24" i="20"/>
  <c r="U25" i="20"/>
  <c r="U26" i="20"/>
  <c r="U28" i="20"/>
  <c r="U30" i="20"/>
  <c r="U32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/>
  <c r="G55" i="5"/>
  <c r="U47" i="20" s="1"/>
  <c r="G56" i="5"/>
  <c r="U48" i="20" s="1"/>
  <c r="G57" i="5"/>
  <c r="U49" i="20" s="1"/>
  <c r="G58" i="5"/>
  <c r="U50" i="20" s="1"/>
  <c r="G60" i="5"/>
  <c r="G59" i="5" s="1"/>
  <c r="U51" i="20" s="1"/>
  <c r="G61" i="5"/>
  <c r="U53" i="20"/>
  <c r="G62" i="5"/>
  <c r="U54" i="20" s="1"/>
  <c r="G63" i="5"/>
  <c r="U55" i="20" s="1"/>
  <c r="U58" i="20"/>
  <c r="G67" i="5"/>
  <c r="U57" i="20" s="1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/>
  <c r="P60" i="20"/>
  <c r="P58" i="20"/>
  <c r="B67" i="5"/>
  <c r="P57" i="20"/>
  <c r="B45" i="5"/>
  <c r="B65" i="5" s="1"/>
  <c r="B54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41" i="5" s="1"/>
  <c r="P34" i="20" s="1"/>
  <c r="P29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0" s="1"/>
  <c r="H23" i="23"/>
  <c r="F6" i="11" s="1"/>
  <c r="G23" i="23"/>
  <c r="E6" i="11" s="1"/>
  <c r="F23" i="23"/>
  <c r="D6" i="11" s="1"/>
  <c r="E23" i="23"/>
  <c r="C6" i="10" s="1"/>
  <c r="B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Y4" i="17" s="1"/>
  <c r="J14" i="3"/>
  <c r="X4" i="17" s="1"/>
  <c r="I14" i="3"/>
  <c r="I8" i="3"/>
  <c r="I20" i="3" s="1"/>
  <c r="W5" i="17" s="1"/>
  <c r="H14" i="3"/>
  <c r="V4" i="17" s="1"/>
  <c r="G14" i="3"/>
  <c r="E14" i="3"/>
  <c r="S4" i="17" s="1"/>
  <c r="K9" i="3"/>
  <c r="K10" i="3"/>
  <c r="K11" i="3"/>
  <c r="K12" i="3"/>
  <c r="J8" i="3"/>
  <c r="J20" i="3" s="1"/>
  <c r="X5" i="17" s="1"/>
  <c r="H8" i="3"/>
  <c r="H20" i="3" s="1"/>
  <c r="V5" i="17" s="1"/>
  <c r="G8" i="3"/>
  <c r="G20" i="3" s="1"/>
  <c r="U5" i="17" s="1"/>
  <c r="E8" i="3"/>
  <c r="E20" i="3" s="1"/>
  <c r="S5" i="17" s="1"/>
  <c r="F41" i="2"/>
  <c r="E41" i="2"/>
  <c r="S17" i="16" s="1"/>
  <c r="D41" i="2"/>
  <c r="R17" i="16"/>
  <c r="C41" i="2"/>
  <c r="H27" i="2"/>
  <c r="V15" i="16" s="1"/>
  <c r="G27" i="2"/>
  <c r="U15" i="16" s="1"/>
  <c r="F27" i="2"/>
  <c r="E27" i="2"/>
  <c r="S15" i="16" s="1"/>
  <c r="D27" i="2"/>
  <c r="R15" i="16" s="1"/>
  <c r="C27" i="2"/>
  <c r="Q15" i="16" s="1"/>
  <c r="B41" i="2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P32" i="18" s="1"/>
  <c r="B55" i="4"/>
  <c r="B53" i="4"/>
  <c r="B49" i="4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Q71" i="15" s="1"/>
  <c r="F27" i="1"/>
  <c r="Q76" i="15" s="1"/>
  <c r="F31" i="1"/>
  <c r="Q80" i="15" s="1"/>
  <c r="F38" i="1"/>
  <c r="Q87" i="15" s="1"/>
  <c r="F42" i="1"/>
  <c r="Q91" i="15" s="1"/>
  <c r="F63" i="1"/>
  <c r="Q106" i="15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P71" i="15" s="1"/>
  <c r="E27" i="1"/>
  <c r="P76" i="15" s="1"/>
  <c r="E31" i="1"/>
  <c r="P80" i="15" s="1"/>
  <c r="E38" i="1"/>
  <c r="E42" i="1"/>
  <c r="P91" i="15" s="1"/>
  <c r="E57" i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57" i="15"/>
  <c r="Q33" i="15"/>
  <c r="P33" i="15"/>
  <c r="A33" i="15"/>
  <c r="A55" i="15"/>
  <c r="C9" i="1"/>
  <c r="Q4" i="15" s="1"/>
  <c r="C17" i="1"/>
  <c r="Q12" i="15" s="1"/>
  <c r="C25" i="1"/>
  <c r="Q20" i="15" s="1"/>
  <c r="C31" i="1"/>
  <c r="C38" i="1"/>
  <c r="Q34" i="15" s="1"/>
  <c r="C41" i="1"/>
  <c r="Q37" i="15" s="1"/>
  <c r="C60" i="1"/>
  <c r="Q53" i="15" s="1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Q36" i="18" s="1"/>
  <c r="D68" i="4"/>
  <c r="R36" i="18" s="1"/>
  <c r="C64" i="4"/>
  <c r="Q33" i="18" s="1"/>
  <c r="D64" i="4"/>
  <c r="C63" i="4"/>
  <c r="D63" i="4"/>
  <c r="R32" i="18" s="1"/>
  <c r="C48" i="4"/>
  <c r="Q26" i="18" s="1"/>
  <c r="C55" i="4"/>
  <c r="Q31" i="18" s="1"/>
  <c r="D55" i="4"/>
  <c r="R31" i="18" s="1"/>
  <c r="C53" i="4"/>
  <c r="D53" i="4"/>
  <c r="R30" i="18" s="1"/>
  <c r="D48" i="4"/>
  <c r="R26" i="18" s="1"/>
  <c r="C49" i="4"/>
  <c r="Q27" i="18" s="1"/>
  <c r="D49" i="4"/>
  <c r="C29" i="4"/>
  <c r="Q15" i="18" s="1"/>
  <c r="D29" i="4"/>
  <c r="R15" i="18" s="1"/>
  <c r="C40" i="4"/>
  <c r="C44" i="4" s="1"/>
  <c r="D40" i="4"/>
  <c r="R22" i="18" s="1"/>
  <c r="C37" i="4"/>
  <c r="D37" i="4"/>
  <c r="R19" i="18" s="1"/>
  <c r="C17" i="4"/>
  <c r="C13" i="4"/>
  <c r="Q6" i="18" s="1"/>
  <c r="D13" i="4"/>
  <c r="U4" i="17"/>
  <c r="W4" i="17"/>
  <c r="W3" i="17"/>
  <c r="Q17" i="16"/>
  <c r="T17" i="16"/>
  <c r="P17" i="16"/>
  <c r="T15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D9" i="2"/>
  <c r="R4" i="16" s="1"/>
  <c r="E9" i="2"/>
  <c r="F9" i="2"/>
  <c r="T4" i="16" s="1"/>
  <c r="G9" i="2"/>
  <c r="H9" i="2"/>
  <c r="V4" i="16" s="1"/>
  <c r="B9" i="2"/>
  <c r="P4" i="16" s="1"/>
  <c r="P4" i="15"/>
  <c r="Q9" i="18"/>
  <c r="Q22" i="18"/>
  <c r="R33" i="18"/>
  <c r="R37" i="18"/>
  <c r="R6" i="18"/>
  <c r="Q19" i="18"/>
  <c r="Q37" i="18"/>
  <c r="Q67" i="15"/>
  <c r="V3" i="17"/>
  <c r="G9" i="7" l="1"/>
  <c r="G146" i="6"/>
  <c r="U138" i="24" s="1"/>
  <c r="G133" i="6"/>
  <c r="U125" i="24" s="1"/>
  <c r="G113" i="6"/>
  <c r="U105" i="24" s="1"/>
  <c r="G103" i="6"/>
  <c r="U95" i="24" s="1"/>
  <c r="G85" i="6"/>
  <c r="U77" i="24" s="1"/>
  <c r="G93" i="6"/>
  <c r="G71" i="6"/>
  <c r="U64" i="24" s="1"/>
  <c r="U66" i="24"/>
  <c r="G62" i="6"/>
  <c r="U55" i="24" s="1"/>
  <c r="G48" i="6"/>
  <c r="U41" i="24" s="1"/>
  <c r="U34" i="24"/>
  <c r="E9" i="6"/>
  <c r="S2" i="24" s="1"/>
  <c r="U5" i="24"/>
  <c r="E65" i="5"/>
  <c r="S56" i="20" s="1"/>
  <c r="F41" i="5"/>
  <c r="T34" i="20" s="1"/>
  <c r="C41" i="5"/>
  <c r="Q34" i="20" s="1"/>
  <c r="C72" i="4"/>
  <c r="Q32" i="18"/>
  <c r="X3" i="17"/>
  <c r="U22" i="27"/>
  <c r="U17" i="27"/>
  <c r="G16" i="9"/>
  <c r="U9" i="27" s="1"/>
  <c r="P9" i="27"/>
  <c r="S5" i="27"/>
  <c r="B43" i="8"/>
  <c r="F43" i="8"/>
  <c r="E43" i="8"/>
  <c r="S35" i="26" s="1"/>
  <c r="C43" i="8"/>
  <c r="Q35" i="26" s="1"/>
  <c r="G44" i="8"/>
  <c r="U36" i="26" s="1"/>
  <c r="B9" i="8"/>
  <c r="F9" i="8"/>
  <c r="T2" i="26" s="1"/>
  <c r="G10" i="8"/>
  <c r="U3" i="26" s="1"/>
  <c r="D9" i="8"/>
  <c r="R2" i="26" s="1"/>
  <c r="B29" i="7"/>
  <c r="P4" i="25" s="1"/>
  <c r="G29" i="7"/>
  <c r="U4" i="25" s="1"/>
  <c r="U2" i="25"/>
  <c r="D29" i="7"/>
  <c r="R4" i="25" s="1"/>
  <c r="C29" i="7"/>
  <c r="Q4" i="25" s="1"/>
  <c r="U140" i="24"/>
  <c r="G137" i="6"/>
  <c r="U129" i="24" s="1"/>
  <c r="U119" i="24"/>
  <c r="U108" i="24"/>
  <c r="U96" i="24"/>
  <c r="G84" i="6"/>
  <c r="U76" i="24" s="1"/>
  <c r="E84" i="6"/>
  <c r="S76" i="24" s="1"/>
  <c r="C84" i="6"/>
  <c r="Q76" i="24" s="1"/>
  <c r="U78" i="24"/>
  <c r="F84" i="6"/>
  <c r="T76" i="24" s="1"/>
  <c r="G58" i="6"/>
  <c r="U51" i="24" s="1"/>
  <c r="U45" i="24"/>
  <c r="G28" i="6"/>
  <c r="U21" i="24" s="1"/>
  <c r="S11" i="24"/>
  <c r="D9" i="6"/>
  <c r="R2" i="24" s="1"/>
  <c r="B9" i="6"/>
  <c r="P2" i="24" s="1"/>
  <c r="C9" i="6"/>
  <c r="Q2" i="24" s="1"/>
  <c r="U52" i="20"/>
  <c r="F65" i="5"/>
  <c r="G54" i="5"/>
  <c r="U46" i="20" s="1"/>
  <c r="P22" i="20"/>
  <c r="D41" i="5"/>
  <c r="R34" i="20" s="1"/>
  <c r="G37" i="5"/>
  <c r="U31" i="20" s="1"/>
  <c r="E41" i="5"/>
  <c r="C70" i="5"/>
  <c r="B44" i="4"/>
  <c r="P25" i="18" s="1"/>
  <c r="C57" i="4"/>
  <c r="C59" i="4" s="1"/>
  <c r="B57" i="4"/>
  <c r="B59" i="4" s="1"/>
  <c r="D57" i="4"/>
  <c r="D59" i="4" s="1"/>
  <c r="Q30" i="18"/>
  <c r="U3" i="17"/>
  <c r="K8" i="3"/>
  <c r="Y3" i="17" s="1"/>
  <c r="S3" i="17"/>
  <c r="T14" i="16"/>
  <c r="G8" i="2"/>
  <c r="G20" i="2" s="1"/>
  <c r="U13" i="16" s="1"/>
  <c r="U4" i="16"/>
  <c r="E8" i="2"/>
  <c r="E20" i="2" s="1"/>
  <c r="S13" i="16" s="1"/>
  <c r="S4" i="16"/>
  <c r="C8" i="2"/>
  <c r="C20" i="2" s="1"/>
  <c r="Q13" i="16" s="1"/>
  <c r="Q4" i="16"/>
  <c r="B8" i="2"/>
  <c r="B20" i="2" s="1"/>
  <c r="E79" i="1"/>
  <c r="P119" i="15" s="1"/>
  <c r="E47" i="1"/>
  <c r="P95" i="15" s="1"/>
  <c r="F47" i="1"/>
  <c r="F59" i="1" s="1"/>
  <c r="Q104" i="15" s="1"/>
  <c r="P57" i="15"/>
  <c r="C47" i="1"/>
  <c r="C62" i="1" s="1"/>
  <c r="Q54" i="15" s="1"/>
  <c r="F6" i="10"/>
  <c r="D6" i="10"/>
  <c r="E6" i="10"/>
  <c r="C6" i="11"/>
  <c r="G6" i="11"/>
  <c r="A2" i="11"/>
  <c r="A2" i="12"/>
  <c r="A2" i="10"/>
  <c r="A2" i="6"/>
  <c r="A2" i="8"/>
  <c r="A2" i="3"/>
  <c r="A2" i="7"/>
  <c r="A2" i="2"/>
  <c r="A2" i="4"/>
  <c r="A2" i="5"/>
  <c r="A2" i="1"/>
  <c r="A2" i="9"/>
  <c r="A2" i="14"/>
  <c r="U3" i="16"/>
  <c r="Q25" i="18"/>
  <c r="B70" i="5"/>
  <c r="P56" i="20"/>
  <c r="C74" i="4"/>
  <c r="Q39" i="18" s="1"/>
  <c r="Q38" i="18"/>
  <c r="S3" i="16"/>
  <c r="F79" i="1"/>
  <c r="Q119" i="15" s="1"/>
  <c r="U85" i="24"/>
  <c r="Q85" i="24"/>
  <c r="D84" i="6"/>
  <c r="R76" i="24" s="1"/>
  <c r="P3" i="25"/>
  <c r="T35" i="26"/>
  <c r="T16" i="27"/>
  <c r="F21" i="9"/>
  <c r="D21" i="9"/>
  <c r="R16" i="27"/>
  <c r="G30" i="11"/>
  <c r="U22" i="29" s="1"/>
  <c r="U2" i="29"/>
  <c r="C31" i="12"/>
  <c r="Q23" i="30" s="1"/>
  <c r="Q2" i="30"/>
  <c r="G16" i="5"/>
  <c r="U10" i="20" s="1"/>
  <c r="R27" i="18"/>
  <c r="P106" i="15"/>
  <c r="B72" i="4"/>
  <c r="P37" i="20"/>
  <c r="G45" i="5"/>
  <c r="P35" i="26"/>
  <c r="D43" i="8"/>
  <c r="G31" i="12"/>
  <c r="U23" i="30" s="1"/>
  <c r="U2" i="30"/>
  <c r="G28" i="5"/>
  <c r="U22" i="20" s="1"/>
  <c r="H8" i="2"/>
  <c r="D8" i="2"/>
  <c r="F8" i="2"/>
  <c r="D44" i="4"/>
  <c r="D72" i="4"/>
  <c r="P19" i="18"/>
  <c r="B84" i="6"/>
  <c r="F9" i="6"/>
  <c r="S85" i="24"/>
  <c r="F29" i="7"/>
  <c r="T4" i="25" s="1"/>
  <c r="E9" i="8"/>
  <c r="S2" i="26" s="1"/>
  <c r="E33" i="9"/>
  <c r="S24" i="27" s="1"/>
  <c r="S13" i="27"/>
  <c r="C21" i="9"/>
  <c r="Q16" i="27"/>
  <c r="F29" i="13"/>
  <c r="T22" i="31" s="1"/>
  <c r="T2" i="31"/>
  <c r="G19" i="8"/>
  <c r="U12" i="26" s="1"/>
  <c r="G12" i="9"/>
  <c r="U7" i="27"/>
  <c r="G21" i="9"/>
  <c r="E29" i="7"/>
  <c r="S4" i="25" s="1"/>
  <c r="S2" i="25"/>
  <c r="C9" i="8"/>
  <c r="Q2" i="26" s="1"/>
  <c r="B21" i="9"/>
  <c r="P16" i="27"/>
  <c r="C30" i="11"/>
  <c r="Q22" i="29" s="1"/>
  <c r="Q2" i="29"/>
  <c r="B29" i="13"/>
  <c r="P22" i="31" s="1"/>
  <c r="P2" i="31"/>
  <c r="G18" i="6"/>
  <c r="G27" i="8"/>
  <c r="U20" i="26" s="1"/>
  <c r="G53" i="8"/>
  <c r="U45" i="26" s="1"/>
  <c r="U46" i="26"/>
  <c r="G61" i="8"/>
  <c r="U53" i="26" s="1"/>
  <c r="U58" i="26"/>
  <c r="T2" i="29"/>
  <c r="P2" i="30"/>
  <c r="P2" i="26" l="1"/>
  <c r="B77" i="8"/>
  <c r="P68" i="26" s="1"/>
  <c r="F77" i="8"/>
  <c r="T68" i="26" s="1"/>
  <c r="C77" i="8"/>
  <c r="Q68" i="26" s="1"/>
  <c r="E77" i="8"/>
  <c r="S68" i="26" s="1"/>
  <c r="G9" i="8"/>
  <c r="U2" i="26" s="1"/>
  <c r="E159" i="6"/>
  <c r="S150" i="24" s="1"/>
  <c r="C159" i="6"/>
  <c r="Q150" i="24" s="1"/>
  <c r="T56" i="20"/>
  <c r="F70" i="5"/>
  <c r="D70" i="5"/>
  <c r="S34" i="20"/>
  <c r="E70" i="5"/>
  <c r="K20" i="3"/>
  <c r="Y5" i="17" s="1"/>
  <c r="Q3" i="16"/>
  <c r="P13" i="16"/>
  <c r="P3" i="16"/>
  <c r="Q95" i="15"/>
  <c r="E59" i="1"/>
  <c r="E81" i="1" s="1"/>
  <c r="P120" i="15" s="1"/>
  <c r="Q42" i="15"/>
  <c r="U13" i="27"/>
  <c r="G43" i="8"/>
  <c r="G65" i="5"/>
  <c r="U56" i="20" s="1"/>
  <c r="U37" i="20"/>
  <c r="P5" i="18"/>
  <c r="B8" i="4"/>
  <c r="P76" i="24"/>
  <c r="B159" i="6"/>
  <c r="P150" i="24" s="1"/>
  <c r="R35" i="26"/>
  <c r="D77" i="8"/>
  <c r="R68" i="26" s="1"/>
  <c r="P42" i="15"/>
  <c r="B62" i="1"/>
  <c r="P54" i="15" s="1"/>
  <c r="P13" i="27"/>
  <c r="B33" i="9"/>
  <c r="P24" i="27" s="1"/>
  <c r="G9" i="9"/>
  <c r="U2" i="27" s="1"/>
  <c r="U5" i="27"/>
  <c r="D74" i="4"/>
  <c r="R39" i="18" s="1"/>
  <c r="R38" i="18"/>
  <c r="R3" i="16"/>
  <c r="D20" i="2"/>
  <c r="R13" i="16" s="1"/>
  <c r="R13" i="27"/>
  <c r="D33" i="9"/>
  <c r="R24" i="27" s="1"/>
  <c r="D159" i="6"/>
  <c r="R150" i="24" s="1"/>
  <c r="F81" i="1"/>
  <c r="Q120" i="15" s="1"/>
  <c r="U11" i="24"/>
  <c r="G9" i="6"/>
  <c r="F20" i="2"/>
  <c r="T13" i="16" s="1"/>
  <c r="T3" i="16"/>
  <c r="C8" i="4"/>
  <c r="Q5" i="18"/>
  <c r="C33" i="9"/>
  <c r="Q24" i="27" s="1"/>
  <c r="Q13" i="27"/>
  <c r="F159" i="6"/>
  <c r="T150" i="24" s="1"/>
  <c r="T2" i="24"/>
  <c r="R25" i="18"/>
  <c r="V3" i="16"/>
  <c r="H20" i="2"/>
  <c r="V13" i="16" s="1"/>
  <c r="B74" i="4"/>
  <c r="P39" i="18" s="1"/>
  <c r="P38" i="18"/>
  <c r="T13" i="27"/>
  <c r="F33" i="9"/>
  <c r="T24" i="27" s="1"/>
  <c r="G41" i="5"/>
  <c r="P104" i="15" l="1"/>
  <c r="C21" i="4"/>
  <c r="Q2" i="18"/>
  <c r="R5" i="18"/>
  <c r="D8" i="4"/>
  <c r="G42" i="5"/>
  <c r="U35" i="20" s="1"/>
  <c r="U34" i="20"/>
  <c r="G70" i="5"/>
  <c r="U2" i="24"/>
  <c r="G159" i="6"/>
  <c r="U150" i="24" s="1"/>
  <c r="B21" i="4"/>
  <c r="P2" i="18"/>
  <c r="G77" i="8"/>
  <c r="U68" i="26" s="1"/>
  <c r="U35" i="26"/>
  <c r="G33" i="9"/>
  <c r="U24" i="27" s="1"/>
  <c r="P12" i="18" l="1"/>
  <c r="B23" i="4"/>
  <c r="D21" i="4"/>
  <c r="R2" i="18"/>
  <c r="C23" i="4"/>
  <c r="Q12" i="18"/>
  <c r="B25" i="4" l="1"/>
  <c r="P13" i="18"/>
  <c r="R12" i="18"/>
  <c r="D23" i="4"/>
  <c r="Q13" i="18"/>
  <c r="C25" i="4"/>
  <c r="D25" i="4" l="1"/>
  <c r="R13" i="18"/>
  <c r="Q14" i="18"/>
  <c r="Q18" i="18"/>
  <c r="P14" i="18"/>
  <c r="B33" i="4"/>
  <c r="P18" i="18" s="1"/>
  <c r="R14" i="18" l="1"/>
  <c r="D33" i="4"/>
  <c r="R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<sst xmlns="http://schemas.openxmlformats.org/spreadsheetml/2006/main" count="4243" uniqueCount="3305">
  <si>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</si>
  <si>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</si>
  <si>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</si>
  <si>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</si>
  <si>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</si>
  <si>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</si>
  <si>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</si>
  <si>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</si>
  <si>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</si>
  <si>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</si>
  <si>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</si>
  <si>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</si>
  <si>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</si>
  <si>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</si>
  <si>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</si>
  <si>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</si>
  <si>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</si>
  <si>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</si>
  <si>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</si>
  <si>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</si>
  <si>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</si>
  <si>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</si>
  <si>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</si>
  <si>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</si>
  <si>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</si>
  <si>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</si>
  <si>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</si>
  <si>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</si>
  <si>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</si>
  <si>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</si>
  <si>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</si>
  <si>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</si>
  <si>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</si>
  <si>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</si>
  <si>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</si>
  <si>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</si>
  <si>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</si>
  <si>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</si>
  <si>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</si>
  <si>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</si>
  <si>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</si>
  <si>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</si>
  <si>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</si>
  <si>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</si>
  <si>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</si>
  <si>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</si>
  <si>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</si>
  <si>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</si>
  <si>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</si>
  <si>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</si>
  <si>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</si>
  <si>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</si>
  <si>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</si>
  <si>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</si>
  <si>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</si>
  <si>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</si>
  <si>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</si>
  <si>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</si>
  <si>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</si>
  <si>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</si>
  <si>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</si>
  <si>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</si>
  <si>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</si>
  <si>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</si>
  <si>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</si>
  <si>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</si>
  <si>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</si>
  <si>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</si>
  <si>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</si>
  <si>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</si>
  <si>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</si>
  <si>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</si>
  <si>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</si>
  <si>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</si>
  <si>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</si>
  <si>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</si>
  <si>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</si>
  <si>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</si>
  <si>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</si>
  <si>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</si>
  <si>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</si>
  <si>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</si>
  <si>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</si>
  <si>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</si>
  <si>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</si>
  <si>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</si>
  <si>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</si>
  <si>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</si>
  <si>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</si>
  <si>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</si>
  <si>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</si>
  <si>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</si>
  <si>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</si>
  <si>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</si>
  <si>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</si>
  <si>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</si>
  <si>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</si>
  <si>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</si>
  <si>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</si>
  <si>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</si>
  <si>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</si>
  <si>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</si>
  <si>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</si>
  <si>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</si>
  <si>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</si>
  <si>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</si>
  <si>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</si>
  <si>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</si>
  <si>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</si>
  <si>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</si>
  <si>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</si>
  <si>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</si>
  <si>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</si>
  <si>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</si>
  <si>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</si>
  <si>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</si>
  <si>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</si>
  <si>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</si>
  <si>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</si>
  <si>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</si>
  <si>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</si>
  <si>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</si>
  <si>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</si>
  <si>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</si>
  <si>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</si>
  <si>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</si>
  <si>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</si>
  <si>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</si>
  <si>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</si>
  <si>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</si>
  <si>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</si>
  <si>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</si>
  <si>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</si>
  <si>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</si>
  <si>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</si>
  <si>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</si>
  <si>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</si>
  <si>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</si>
  <si>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</si>
  <si>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</si>
  <si>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</si>
  <si>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</si>
  <si>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</si>
  <si>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</si>
  <si>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</si>
  <si>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</si>
  <si>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</si>
  <si>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</si>
  <si>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</si>
  <si>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</si>
  <si>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</si>
  <si>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</si>
  <si>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</si>
  <si>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</si>
  <si>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</si>
  <si>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</si>
  <si>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</si>
  <si>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</si>
  <si>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</si>
  <si>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</si>
  <si>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</si>
  <si>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</si>
  <si>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</si>
  <si>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</si>
  <si>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</si>
  <si>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</si>
  <si>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</si>
  <si>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</si>
  <si>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</si>
  <si>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</si>
  <si>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</si>
  <si>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</si>
  <si>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</si>
  <si>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</si>
  <si>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</si>
  <si>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</si>
  <si>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</si>
  <si>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</si>
  <si>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</si>
  <si>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</si>
  <si>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</si>
  <si>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</si>
  <si>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</si>
  <si>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</si>
  <si>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</si>
  <si>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</si>
  <si>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</si>
  <si>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</si>
  <si>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</si>
  <si>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</si>
  <si>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</si>
  <si>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</si>
  <si>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</si>
  <si>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</si>
  <si>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</si>
  <si>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</si>
  <si>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</si>
  <si>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</si>
  <si>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</si>
  <si>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</si>
  <si>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</si>
  <si>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</si>
  <si>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</si>
  <si>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</si>
  <si>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</si>
  <si>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</si>
  <si>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</si>
  <si>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</si>
  <si>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</si>
  <si>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</si>
  <si>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</si>
  <si>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</si>
  <si>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</si>
  <si>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</si>
  <si>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</si>
  <si>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</si>
  <si>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</si>
  <si>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</si>
  <si>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</si>
  <si>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</si>
  <si>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</si>
  <si>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</si>
  <si>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</si>
  <si>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</si>
  <si>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</si>
  <si>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</si>
  <si>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</si>
  <si>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</si>
  <si>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</si>
  <si>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</si>
  <si>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</si>
  <si>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</si>
  <si>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</si>
  <si>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</si>
  <si>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</si>
  <si>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</si>
  <si>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</si>
  <si>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</si>
  <si>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</si>
  <si>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</si>
  <si>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</si>
  <si>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</si>
  <si>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</si>
  <si>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</si>
  <si>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</si>
  <si>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</si>
  <si>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</si>
  <si>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</si>
  <si>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</si>
  <si>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</si>
  <si>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</si>
  <si>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</si>
  <si>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</si>
  <si>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</si>
  <si>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</si>
  <si>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</si>
  <si>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</si>
  <si>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</si>
  <si>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</si>
  <si>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</si>
  <si>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</si>
  <si>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</si>
  <si>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</si>
  <si>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</si>
  <si>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</si>
  <si>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</si>
  <si>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</si>
  <si>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</si>
  <si>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</si>
  <si>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</si>
  <si>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</si>
  <si>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</si>
  <si>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</si>
  <si>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</si>
  <si>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</si>
  <si>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</si>
  <si>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</si>
  <si>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</si>
  <si>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</si>
  <si>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</si>
  <si>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</si>
  <si>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</si>
  <si>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</si>
  <si>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</si>
  <si>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</si>
  <si>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</si>
  <si>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</si>
  <si>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</si>
  <si>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</si>
  <si>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</si>
  <si>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</si>
  <si>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</si>
  <si>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</si>
  <si>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</si>
  <si>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</si>
  <si>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</si>
  <si>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</si>
  <si>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</si>
  <si>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</si>
  <si>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</si>
  <si>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</si>
  <si>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</si>
  <si>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</si>
  <si>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</si>
  <si>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</si>
  <si>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</si>
  <si>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</si>
  <si>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</si>
  <si>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</si>
  <si>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</si>
  <si>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</si>
  <si>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</si>
  <si>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</si>
  <si>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</si>
  <si>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</si>
  <si>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</si>
  <si>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</si>
  <si>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</si>
  <si>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</si>
  <si>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</si>
  <si>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</si>
  <si>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</si>
  <si>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</si>
  <si>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</si>
  <si>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</si>
  <si>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</si>
  <si>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</si>
  <si>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</si>
  <si>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</si>
  <si>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</si>
  <si>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</si>
  <si>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</si>
  <si>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</si>
  <si>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</si>
  <si>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</si>
  <si>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</si>
  <si>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</si>
  <si>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</si>
  <si>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</si>
  <si>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</si>
  <si>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</si>
  <si>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</si>
  <si>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</si>
  <si>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</si>
  <si>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</si>
  <si>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</si>
  <si>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</si>
  <si>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</si>
  <si>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</si>
  <si>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</si>
  <si>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</si>
  <si>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</si>
  <si>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</si>
  <si>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</si>
  <si>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</si>
  <si>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</si>
  <si>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</si>
  <si>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</si>
  <si>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</si>
  <si>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</si>
  <si>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</si>
  <si>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</si>
  <si>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</si>
  <si>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</si>
  <si>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</si>
  <si>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</si>
  <si>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</si>
  <si>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</si>
  <si>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</si>
  <si>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</si>
  <si>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</si>
  <si>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</si>
  <si>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</si>
  <si>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</si>
  <si>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</si>
  <si>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</si>
  <si>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</si>
  <si>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</si>
  <si>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</si>
  <si>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</si>
  <si>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</si>
  <si>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</si>
  <si>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</si>
  <si>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</si>
  <si>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</si>
  <si>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</si>
  <si>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</si>
  <si>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</si>
  <si>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</si>
  <si>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</si>
  <si>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</si>
  <si>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</si>
  <si>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</si>
  <si>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</si>
  <si>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</si>
  <si>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</si>
  <si>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</si>
  <si>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</si>
  <si>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</si>
  <si>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</si>
  <si>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</si>
  <si>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</si>
  <si>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</si>
  <si>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</si>
  <si>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</si>
  <si>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</si>
  <si>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</si>
  <si>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</si>
  <si>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</si>
  <si>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</si>
  <si>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</si>
  <si>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</si>
  <si>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</si>
  <si>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</si>
  <si>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</si>
  <si>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</si>
  <si>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</si>
  <si>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</si>
  <si>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</si>
  <si>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</si>
  <si>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</si>
  <si>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</si>
  <si>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</si>
  <si>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</si>
  <si>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</si>
  <si>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</si>
  <si>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</si>
  <si>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</si>
  <si>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</si>
  <si>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</si>
  <si>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</si>
  <si>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</si>
  <si>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</si>
  <si>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</si>
  <si>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</si>
  <si>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</si>
  <si>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</si>
  <si>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</si>
  <si>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</si>
  <si>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</si>
  <si>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</si>
  <si>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</si>
  <si>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</si>
  <si>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</si>
  <si>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</si>
  <si>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</si>
  <si>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</si>
  <si>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</si>
  <si>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</si>
  <si>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</si>
  <si>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</si>
  <si>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</si>
  <si>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</si>
  <si>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</si>
  <si>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</si>
  <si>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</si>
  <si>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</si>
  <si>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</si>
  <si>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</si>
  <si>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</si>
  <si>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</si>
  <si>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</si>
  <si>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</si>
  <si>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</si>
  <si>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</si>
  <si>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</si>
  <si>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</si>
  <si>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</si>
  <si>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</si>
  <si>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</si>
  <si>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</si>
  <si>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</si>
  <si>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</si>
  <si>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</si>
  <si>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</si>
  <si>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</si>
  <si>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</si>
  <si>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</si>
  <si>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</si>
  <si>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</si>
  <si>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</si>
  <si>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</si>
  <si>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</si>
  <si>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</si>
  <si>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</si>
  <si>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</si>
  <si>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</si>
  <si>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</si>
  <si>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</si>
  <si>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</si>
  <si>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</si>
  <si>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</si>
  <si>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</si>
  <si>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</si>
  <si>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</si>
  <si>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</si>
  <si>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</si>
  <si>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</si>
  <si>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</si>
  <si>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</si>
  <si>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</si>
  <si>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</si>
  <si>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</si>
  <si>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</si>
  <si>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</si>
  <si>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</si>
  <si>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</si>
  <si>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</si>
  <si>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</si>
  <si>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</si>
  <si>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</si>
  <si>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</si>
  <si>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</si>
  <si>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</si>
  <si>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</si>
  <si>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</si>
  <si>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</si>
  <si>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</si>
  <si>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</si>
  <si>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</si>
  <si>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</si>
  <si>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</si>
  <si>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</si>
  <si>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</si>
  <si>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</si>
  <si>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</si>
  <si>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</si>
  <si>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</si>
  <si>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</si>
  <si>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</si>
  <si>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</si>
  <si>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</si>
  <si>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</si>
  <si>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</si>
  <si>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</si>
  <si>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</si>
  <si>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</si>
  <si>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</si>
  <si>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</si>
  <si>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</si>
  <si>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</si>
  <si>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</si>
  <si>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</si>
  <si>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</si>
  <si>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</si>
  <si>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</si>
  <si>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</si>
  <si>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</si>
  <si>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</si>
  <si>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</si>
  <si>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</si>
  <si>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</si>
  <si>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</si>
  <si>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</si>
  <si>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</si>
  <si>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</si>
  <si>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</si>
  <si>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</si>
  <si>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</si>
  <si>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</si>
  <si>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</si>
  <si>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</si>
  <si>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</si>
  <si>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</si>
  <si>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</si>
  <si>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</si>
  <si>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</si>
  <si>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</si>
  <si>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</si>
  <si>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</si>
  <si>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</si>
  <si>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</si>
  <si>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</si>
  <si>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</si>
  <si>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</si>
  <si>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</si>
  <si>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</si>
  <si>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</si>
  <si>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</si>
  <si>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</si>
  <si>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</si>
  <si>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</si>
  <si>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</si>
  <si>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</si>
  <si>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</si>
  <si>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</si>
  <si>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</si>
  <si>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</si>
  <si>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</si>
  <si>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</si>
  <si>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</si>
  <si>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</si>
  <si>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</si>
  <si>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</si>
  <si>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</si>
  <si>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</si>
  <si>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</si>
  <si>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</si>
  <si>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</si>
  <si>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</si>
  <si>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</si>
  <si>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</si>
  <si>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</si>
  <si>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</si>
  <si>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</si>
  <si>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</si>
  <si>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</si>
  <si>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</si>
  <si>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</si>
  <si>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</si>
  <si>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</si>
  <si>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</si>
  <si>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</si>
  <si>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</si>
  <si>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</si>
  <si>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</si>
  <si>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</si>
  <si>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</si>
  <si>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</si>
  <si>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</si>
  <si>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</si>
  <si>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</si>
  <si>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</si>
  <si>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</si>
  <si>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</si>
  <si>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</si>
  <si>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</si>
  <si>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</si>
  <si>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</si>
  <si>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</si>
  <si>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</si>
  <si>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</si>
  <si>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</si>
  <si>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</si>
  <si>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</si>
  <si>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</si>
  <si>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</si>
  <si>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</si>
  <si>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</si>
  <si>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</si>
  <si>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</si>
  <si>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</si>
  <si>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</si>
  <si>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</si>
  <si>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</si>
  <si>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</si>
  <si>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</si>
  <si>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</si>
  <si>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</si>
  <si>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</si>
  <si>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</si>
  <si>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</si>
  <si>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</si>
  <si>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</si>
  <si>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</si>
  <si>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</si>
  <si>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</si>
  <si>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</si>
  <si>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</si>
  <si>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</si>
  <si>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</si>
  <si>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</si>
  <si>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</si>
  <si>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</si>
  <si>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</si>
  <si>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</si>
  <si>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</si>
  <si>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</si>
  <si>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</si>
  <si>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</si>
  <si>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</si>
  <si>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</si>
  <si>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</si>
  <si>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</si>
  <si>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</si>
  <si>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</si>
  <si>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</si>
  <si>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</si>
  <si>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</si>
  <si>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</si>
  <si>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</si>
  <si>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</si>
  <si>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</si>
  <si>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</si>
  <si>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</si>
  <si>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</si>
  <si>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</si>
  <si>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</si>
  <si>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</si>
  <si>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</si>
  <si>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</si>
  <si>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</si>
  <si>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</si>
  <si>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</si>
  <si>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</si>
  <si>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</si>
  <si>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</si>
  <si>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</si>
  <si>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</si>
  <si>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</si>
  <si>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</si>
  <si>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</si>
  <si>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</si>
  <si>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</si>
  <si>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</si>
  <si>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</si>
  <si>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</si>
  <si>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</si>
  <si>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</si>
  <si>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</si>
  <si>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</si>
  <si>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</si>
  <si>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</si>
  <si>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</si>
  <si>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</si>
  <si>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</si>
  <si>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</si>
  <si>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</si>
  <si>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</si>
  <si>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</si>
  <si>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</si>
  <si>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</si>
  <si>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</si>
  <si>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</si>
  <si>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</si>
  <si>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</si>
  <si>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</si>
  <si>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</si>
  <si>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</si>
  <si>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</si>
  <si>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</si>
  <si>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</si>
  <si>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</si>
  <si>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</si>
  <si>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</si>
  <si>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</si>
  <si>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</si>
  <si>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</si>
  <si>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</si>
  <si>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</si>
  <si>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</si>
  <si>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</si>
  <si>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</si>
  <si>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</si>
  <si>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</si>
  <si>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</si>
  <si>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</si>
  <si>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</si>
  <si>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</si>
  <si>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</si>
  <si>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</si>
  <si>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</si>
  <si>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</si>
  <si>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</si>
  <si>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</si>
  <si>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</si>
  <si>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</si>
  <si>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</si>
  <si>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</si>
  <si>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</si>
  <si>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</si>
  <si>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</si>
  <si>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</si>
  <si>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</si>
  <si>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</si>
  <si>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</si>
  <si>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</si>
  <si>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</si>
  <si>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</si>
  <si>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</si>
  <si>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</si>
  <si>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</si>
  <si>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</si>
  <si>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</si>
  <si>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</si>
  <si>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</si>
  <si>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</si>
  <si>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</si>
  <si>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</si>
  <si>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</si>
  <si>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</si>
  <si>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</si>
  <si>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</si>
  <si>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</si>
  <si>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</si>
  <si>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</si>
  <si>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</si>
  <si>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</si>
  <si>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</si>
  <si>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</si>
  <si>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</si>
  <si>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</si>
  <si>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</si>
  <si>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</si>
  <si>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</si>
  <si>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</si>
  <si>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</si>
  <si>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</si>
  <si>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</si>
  <si>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</si>
  <si>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</si>
  <si>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</si>
  <si>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</si>
  <si>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</si>
  <si>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</si>
  <si>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</si>
  <si>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</si>
  <si>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</si>
  <si>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</si>
  <si>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</si>
  <si>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</si>
  <si>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</si>
  <si>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</si>
  <si>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</si>
  <si>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</si>
  <si>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</si>
  <si>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</si>
  <si>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</si>
  <si>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</si>
  <si>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</si>
  <si>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</si>
  <si>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</si>
  <si>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</si>
  <si>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</si>
  <si>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</si>
  <si>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</si>
  <si>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</si>
  <si>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</si>
  <si>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</si>
  <si>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</si>
  <si>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</si>
  <si>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</si>
  <si>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</si>
  <si>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</si>
  <si>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</si>
  <si>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</si>
  <si>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</si>
  <si>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</si>
  <si>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</si>
  <si>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</si>
  <si>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</si>
  <si>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</si>
  <si>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</si>
  <si>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</si>
  <si>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</si>
  <si>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</si>
  <si>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</si>
  <si>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</si>
  <si>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</si>
  <si>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</si>
  <si>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</si>
  <si>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</si>
  <si>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</si>
  <si>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</si>
  <si>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</si>
  <si>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</si>
  <si>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</si>
  <si>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</si>
  <si>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</si>
  <si>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</si>
  <si>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</si>
  <si>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</si>
  <si>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</si>
  <si>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</si>
  <si>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</si>
  <si>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</si>
  <si>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</si>
  <si>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</si>
  <si>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</si>
  <si>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</si>
  <si>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</si>
  <si>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</si>
  <si>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</si>
  <si>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</si>
  <si>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</si>
  <si>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</si>
  <si>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</si>
  <si>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</si>
  <si>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</si>
  <si>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</si>
  <si>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</si>
  <si>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</si>
  <si>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</si>
  <si>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</si>
  <si>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</si>
  <si>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</si>
  <si>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</si>
  <si>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</si>
  <si>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</si>
  <si>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</si>
  <si>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</si>
  <si>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</si>
  <si>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</si>
  <si>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</si>
  <si>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</si>
  <si>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</si>
  <si>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</si>
  <si>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</si>
  <si>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</si>
  <si>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</si>
  <si>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</si>
  <si>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</si>
  <si>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</si>
  <si>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</si>
  <si>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</si>
  <si>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</si>
  <si>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</si>
  <si>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</si>
  <si>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</si>
  <si>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</si>
  <si>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</si>
  <si>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</si>
  <si>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</si>
  <si>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</si>
  <si>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</si>
  <si>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</si>
  <si>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</si>
  <si>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</si>
  <si>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</si>
  <si>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</si>
  <si>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</si>
  <si>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</si>
  <si>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</si>
  <si>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</si>
  <si>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</si>
  <si>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</si>
  <si>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</si>
  <si>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</si>
  <si>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</si>
  <si>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</si>
  <si>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</si>
  <si>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</si>
  <si>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</si>
  <si>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</si>
  <si>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</si>
  <si>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</si>
  <si>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</si>
  <si>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</si>
  <si>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</si>
  <si>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</si>
  <si>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</si>
  <si>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</si>
  <si>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</si>
  <si>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</si>
  <si>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</si>
  <si>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</si>
  <si>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</si>
  <si>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</si>
  <si>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</si>
  <si>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</si>
  <si>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</si>
  <si>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</si>
  <si>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</si>
  <si>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</si>
  <si>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</si>
  <si>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</si>
  <si>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</si>
  <si>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</si>
  <si>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</si>
  <si>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</si>
  <si>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</si>
  <si>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</si>
  <si>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</si>
  <si>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</si>
  <si>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</si>
  <si>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</si>
  <si>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</si>
  <si>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</si>
  <si>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</si>
  <si>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</si>
  <si>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</si>
  <si>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</si>
  <si>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</si>
  <si>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</si>
  <si>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</si>
  <si>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</si>
  <si>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</si>
  <si>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</si>
  <si>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</si>
  <si>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</si>
  <si>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</si>
  <si>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</si>
  <si>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</si>
  <si>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</si>
  <si>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</si>
  <si>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</si>
  <si>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</si>
  <si>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</si>
  <si>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</si>
  <si>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</si>
  <si>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</si>
  <si>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</si>
  <si>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</si>
  <si>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</si>
  <si>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</si>
  <si>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</si>
  <si>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</si>
  <si>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</si>
  <si>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</si>
  <si>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</si>
  <si>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</si>
  <si>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</si>
  <si>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</si>
  <si>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</si>
  <si>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</si>
  <si>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</si>
  <si>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</si>
  <si>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</si>
  <si>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</si>
  <si>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</si>
  <si>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</si>
  <si>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</si>
  <si>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</si>
  <si>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</si>
  <si>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</si>
  <si>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</si>
  <si>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</si>
  <si>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</si>
  <si>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</si>
  <si>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</si>
  <si>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</si>
  <si>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</si>
  <si>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</si>
  <si>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</si>
  <si>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</si>
  <si>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</si>
  <si>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</si>
  <si>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</si>
  <si>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</si>
  <si>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</si>
  <si>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</si>
  <si>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</si>
  <si>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</si>
  <si>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</si>
  <si>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</si>
  <si>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</si>
  <si>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</si>
  <si>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</si>
  <si>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</si>
  <si>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</si>
  <si>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</si>
  <si>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</si>
  <si>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</si>
  <si>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</si>
  <si>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</si>
  <si>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</si>
  <si>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</si>
  <si>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</si>
  <si>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</si>
  <si>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</si>
  <si>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</si>
  <si>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</si>
  <si>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</si>
  <si>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</si>
  <si>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</si>
  <si>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</si>
  <si>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</si>
  <si>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</si>
  <si>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</si>
  <si>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</si>
  <si>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</si>
  <si>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</si>
  <si>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</si>
  <si>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</si>
  <si>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</si>
  <si>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</si>
  <si>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</si>
  <si>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</si>
  <si>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</si>
  <si>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</si>
  <si>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</si>
  <si>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</si>
  <si>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</si>
  <si>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</si>
  <si>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</si>
  <si>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</si>
  <si>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</si>
  <si>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</si>
  <si>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</si>
  <si>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</si>
  <si>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</si>
  <si>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</si>
  <si>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</si>
  <si>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</si>
  <si>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</si>
  <si>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</si>
  <si>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</si>
  <si>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</si>
  <si>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</si>
  <si>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</si>
  <si>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</si>
  <si>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</si>
  <si>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</si>
  <si>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</si>
  <si>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</si>
  <si>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</si>
  <si>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</si>
  <si>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</si>
  <si>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</si>
  <si>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</si>
  <si>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</si>
  <si>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</si>
  <si>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</si>
  <si>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</si>
  <si>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</si>
  <si>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</si>
  <si>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</si>
  <si>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</si>
  <si>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</si>
  <si>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</si>
  <si>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</si>
  <si>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</si>
  <si>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</si>
  <si>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</si>
  <si>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</si>
  <si>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</si>
  <si>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</si>
  <si>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</si>
  <si>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</si>
  <si>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</si>
  <si>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</si>
  <si>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</si>
  <si>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</si>
  <si>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</si>
  <si>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</si>
  <si>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</si>
  <si>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</si>
  <si>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</si>
  <si>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</si>
  <si>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</si>
  <si>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</si>
  <si>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</si>
  <si>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</si>
  <si>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</si>
  <si>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</si>
  <si>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</si>
  <si>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</si>
  <si>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</si>
  <si>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</si>
  <si>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</si>
  <si>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</si>
  <si>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</si>
  <si>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</si>
  <si>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</si>
  <si>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</si>
  <si>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</si>
  <si>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</si>
  <si>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</si>
  <si>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</si>
  <si>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</si>
  <si>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</si>
  <si>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</si>
  <si>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</si>
  <si>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</si>
  <si>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</si>
  <si>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</si>
  <si>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</si>
  <si>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</si>
  <si>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</si>
  <si>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</si>
  <si>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</si>
  <si>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</si>
  <si>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</si>
  <si>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</si>
  <si>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</si>
  <si>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</si>
  <si>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</si>
  <si>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</si>
  <si>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</si>
  <si>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</si>
  <si>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</si>
  <si>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</si>
  <si>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</si>
  <si>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</si>
  <si>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</si>
  <si>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</si>
  <si>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</si>
  <si>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</si>
  <si>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</si>
  <si>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</si>
  <si>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</si>
  <si>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</si>
  <si>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</si>
  <si>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</si>
  <si>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</si>
  <si>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</si>
  <si>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</si>
  <si>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</si>
  <si>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</si>
  <si>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</si>
  <si>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</si>
  <si>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</si>
  <si>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</si>
  <si>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</si>
  <si>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</si>
  <si>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</si>
  <si>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</si>
  <si>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</si>
  <si>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</si>
  <si>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</si>
  <si>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</si>
  <si>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</si>
  <si>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</si>
  <si>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</si>
  <si>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</si>
  <si>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</si>
  <si>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</si>
  <si>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</si>
  <si>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</si>
  <si>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</si>
  <si>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</si>
  <si>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</si>
  <si>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</si>
  <si>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</si>
  <si>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</si>
  <si>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</si>
  <si>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</si>
  <si>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</si>
  <si>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</si>
  <si>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</si>
  <si>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</si>
  <si>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</si>
  <si>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</si>
  <si>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</si>
  <si>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</si>
  <si>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</si>
  <si>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</si>
  <si>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</si>
  <si>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</si>
  <si>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</si>
  <si>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</si>
  <si>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</si>
  <si>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</si>
  <si>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</si>
  <si>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</si>
  <si>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</si>
  <si>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</si>
  <si>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</si>
  <si>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</si>
  <si>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</si>
  <si>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</si>
  <si>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</si>
  <si>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</si>
  <si>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</si>
  <si>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</si>
  <si>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</si>
  <si>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</si>
  <si>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</si>
  <si>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</si>
  <si>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</si>
  <si>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</si>
  <si>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</si>
  <si>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</si>
  <si>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</si>
  <si>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</si>
  <si>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</si>
  <si>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</si>
  <si>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</si>
  <si>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</si>
  <si>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</si>
  <si>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</si>
  <si>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</si>
  <si>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</si>
  <si>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</si>
  <si>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</si>
  <si>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</si>
  <si>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</si>
  <si>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</si>
  <si>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</si>
  <si>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</si>
  <si>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</si>
  <si>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</si>
  <si>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</si>
  <si>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</si>
  <si>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</si>
  <si>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</si>
  <si>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</si>
  <si>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</si>
  <si>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</si>
  <si>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</si>
  <si>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</si>
  <si>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</si>
  <si>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</si>
  <si>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</si>
  <si>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</si>
  <si>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</si>
  <si>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</si>
  <si>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</si>
  <si>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</si>
  <si>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</si>
  <si>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</si>
  <si>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</si>
  <si>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</si>
  <si>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</si>
  <si>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</si>
  <si>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</si>
  <si>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</si>
  <si>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</si>
  <si>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</si>
  <si>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</si>
  <si>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</si>
  <si>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</si>
  <si>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</si>
  <si>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</si>
  <si>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</si>
  <si>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</si>
  <si>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</si>
  <si>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</si>
  <si>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</si>
  <si>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</si>
  <si>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</si>
  <si>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</si>
  <si>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</si>
  <si>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</si>
  <si>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</si>
  <si>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</si>
  <si>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</si>
  <si>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</si>
  <si>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</si>
  <si>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</si>
  <si>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</si>
  <si>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</si>
  <si>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</si>
  <si>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</si>
  <si>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</si>
  <si>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</si>
  <si>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</si>
  <si>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</si>
  <si>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</si>
  <si>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</si>
  <si>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</si>
  <si>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</si>
  <si>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</si>
  <si>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</si>
  <si>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</si>
  <si>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</si>
  <si>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</si>
  <si>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</si>
  <si>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</si>
  <si>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</si>
  <si>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</si>
  <si>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</si>
  <si>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</si>
  <si>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</si>
  <si>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</si>
  <si>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</si>
  <si>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</si>
  <si>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</si>
  <si>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</si>
  <si>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</si>
  <si>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</si>
  <si>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</si>
  <si>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</si>
  <si>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</si>
  <si>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</si>
  <si>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</si>
  <si>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</si>
  <si>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</si>
  <si>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</si>
  <si>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</si>
  <si>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</si>
  <si>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</si>
  <si>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</si>
  <si>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</si>
  <si>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</si>
  <si>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</si>
  <si>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</si>
  <si>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</si>
  <si>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</si>
  <si>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</si>
  <si>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</si>
  <si>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</si>
  <si>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</si>
  <si>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</si>
  <si>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</si>
  <si>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</si>
  <si>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</si>
  <si>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</si>
  <si>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</si>
  <si>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</si>
  <si>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</si>
  <si>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</si>
  <si>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</si>
  <si>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</si>
  <si>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</si>
  <si>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</si>
  <si>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</si>
  <si>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</si>
  <si>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</si>
  <si>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</si>
  <si>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</si>
  <si>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</si>
  <si>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</si>
  <si>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</si>
  <si>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</si>
  <si>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</si>
  <si>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</si>
  <si>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</si>
  <si>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</si>
  <si>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</si>
  <si>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</si>
  <si>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</si>
  <si>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</si>
  <si>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</si>
  <si>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</si>
  <si>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</si>
  <si>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</si>
  <si>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</si>
  <si>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</si>
  <si>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</si>
  <si>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</si>
  <si>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</si>
  <si>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</si>
  <si>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</si>
  <si>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</si>
  <si>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</si>
  <si>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</si>
  <si>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</si>
  <si>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</si>
  <si>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</si>
  <si>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</si>
  <si>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</si>
  <si>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</si>
  <si>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</si>
  <si>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</si>
  <si>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</si>
  <si>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</si>
  <si>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</si>
  <si>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</si>
  <si>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</si>
  <si>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</si>
  <si>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</si>
  <si>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</si>
  <si>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</si>
  <si>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</si>
  <si>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</si>
  <si>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</si>
  <si>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</si>
  <si>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</si>
  <si>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</si>
  <si>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</si>
  <si>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</si>
  <si>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</si>
  <si>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</si>
  <si>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</si>
  <si>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</si>
  <si>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</si>
  <si>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</si>
  <si>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</si>
  <si>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</si>
  <si>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</si>
  <si>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</si>
  <si>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</si>
  <si>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</si>
  <si>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</si>
  <si>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</si>
  <si>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</si>
  <si>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</si>
  <si>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</si>
  <si>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</si>
  <si>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</si>
  <si>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</si>
  <si>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</si>
  <si>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</si>
  <si>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</si>
  <si>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</si>
  <si>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</si>
  <si>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</si>
  <si>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</si>
  <si>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</si>
  <si>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</si>
  <si>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</si>
  <si>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</si>
  <si>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</si>
  <si>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</si>
  <si>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</si>
  <si>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</si>
  <si>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</si>
  <si>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</si>
  <si>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</si>
  <si>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</si>
  <si>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</si>
  <si>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</si>
  <si>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</si>
  <si>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</si>
  <si>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</si>
  <si>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</si>
  <si>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</si>
  <si>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</si>
  <si>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</si>
  <si>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</si>
  <si>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</si>
  <si>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</si>
  <si>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</si>
  <si>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</si>
  <si>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</si>
  <si>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</si>
  <si>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</si>
  <si>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</si>
  <si>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</si>
  <si>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</si>
  <si>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</si>
  <si>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</si>
  <si>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</si>
  <si>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</si>
  <si>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</si>
  <si>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</si>
  <si>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</si>
  <si>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</si>
  <si>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</si>
  <si>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</si>
  <si>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</si>
  <si>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</si>
  <si>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</si>
  <si>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</si>
  <si>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</si>
  <si>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</si>
  <si>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</si>
  <si>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</si>
  <si>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</si>
  <si>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</si>
  <si>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</si>
  <si>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</si>
  <si>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</si>
  <si>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</si>
  <si>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</si>
  <si>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</si>
  <si>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</si>
  <si>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</si>
  <si>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</si>
  <si>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</si>
  <si>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</si>
  <si>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</si>
  <si>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</si>
  <si>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</si>
  <si>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</si>
  <si>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</si>
  <si>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</si>
  <si>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</si>
  <si>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</si>
  <si>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</si>
  <si>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</si>
  <si>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</si>
  <si>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</si>
  <si>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</si>
  <si>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</si>
  <si>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</si>
  <si>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</si>
  <si>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</si>
  <si>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</si>
  <si>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</si>
  <si>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</si>
  <si>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</si>
  <si>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</si>
  <si>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</si>
  <si>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</si>
  <si>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</si>
  <si>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</si>
  <si>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</si>
  <si>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</si>
  <si>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</si>
  <si>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</si>
  <si>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</si>
  <si>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</si>
  <si>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</si>
  <si>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</si>
  <si>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</si>
  <si>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</si>
  <si>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</si>
  <si>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</si>
  <si>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</si>
  <si>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</si>
  <si>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</si>
  <si>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</si>
  <si>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</si>
  <si>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</si>
  <si>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</si>
  <si>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</si>
  <si>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</si>
  <si>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</si>
  <si>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</si>
  <si>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</si>
  <si>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</si>
  <si>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</si>
  <si>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</si>
  <si>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</si>
  <si>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</si>
  <si>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</si>
  <si>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</si>
  <si>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</si>
  <si>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</si>
  <si>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</si>
  <si>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</si>
  <si>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</si>
  <si>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</si>
  <si>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</si>
  <si>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</si>
  <si>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</si>
  <si>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</si>
  <si>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</si>
  <si>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</si>
  <si>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</si>
  <si>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</si>
  <si>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</si>
  <si>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</si>
  <si>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</si>
  <si>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</si>
  <si>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</si>
  <si>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</si>
  <si>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</si>
  <si>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</si>
  <si>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</si>
  <si>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</si>
  <si>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</si>
  <si>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</si>
  <si>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</si>
  <si>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</si>
  <si>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</si>
  <si>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</si>
  <si>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</si>
  <si>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</si>
  <si>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</si>
  <si>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</si>
  <si>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</si>
  <si>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</si>
  <si>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</si>
  <si>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</si>
  <si>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</si>
  <si>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</si>
  <si>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</si>
  <si>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</si>
  <si>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</si>
  <si>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</si>
  <si>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</si>
  <si>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</si>
  <si>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</si>
  <si>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</si>
  <si>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</si>
  <si>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</si>
  <si>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</si>
  <si>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</si>
  <si>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</si>
  <si>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</si>
  <si>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</si>
  <si>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</si>
  <si>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</si>
  <si>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</si>
  <si>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</si>
  <si>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</si>
  <si>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</si>
  <si>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</si>
  <si>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</si>
  <si>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</si>
  <si>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</si>
  <si>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</si>
  <si>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</si>
  <si>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</si>
  <si>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</si>
  <si>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</si>
  <si>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</si>
  <si>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</si>
  <si>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</si>
  <si>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</si>
  <si>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</si>
  <si>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</si>
  <si>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</si>
  <si>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</si>
  <si>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</si>
  <si>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</si>
  <si>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</si>
  <si>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</si>
  <si>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</si>
  <si>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</si>
  <si>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</si>
  <si>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</si>
  <si>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</si>
  <si>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</si>
  <si>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</si>
  <si>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</si>
  <si>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</si>
  <si>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</si>
  <si>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</si>
  <si>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</si>
  <si>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</si>
  <si>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</si>
  <si>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</si>
  <si>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</si>
  <si>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</si>
  <si>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</si>
  <si>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</si>
  <si>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</si>
  <si>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</si>
  <si>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</si>
  <si>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</si>
  <si>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</si>
  <si>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</si>
  <si>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</si>
  <si>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</si>
  <si>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</si>
  <si>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</si>
  <si>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</si>
  <si>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</si>
  <si>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</si>
  <si>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</si>
  <si>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</si>
  <si>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</si>
  <si>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</si>
  <si>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</si>
  <si>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</si>
  <si>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</si>
  <si>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</si>
  <si>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</si>
  <si>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</si>
  <si>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</si>
  <si>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</si>
  <si>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</si>
  <si>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</si>
  <si>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</si>
  <si>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</si>
  <si>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</si>
  <si>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</si>
  <si>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</si>
  <si>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</si>
  <si>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</si>
  <si>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</si>
  <si>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</si>
  <si>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</si>
  <si>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</si>
  <si>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</si>
  <si>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</si>
  <si>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</si>
  <si>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</si>
  <si>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</si>
  <si>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</si>
  <si>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</si>
  <si>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</si>
  <si>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</si>
  <si>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</si>
  <si>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</si>
  <si>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</si>
  <si>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</si>
  <si>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</si>
  <si>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</si>
  <si>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</si>
  <si>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</si>
  <si>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</si>
  <si>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</si>
  <si>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</si>
  <si>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</si>
  <si>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</si>
  <si>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</si>
  <si>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</si>
  <si>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</si>
  <si>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</si>
  <si>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</si>
  <si>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</si>
  <si>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</si>
  <si>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</si>
  <si>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</si>
  <si>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</si>
  <si>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</si>
  <si>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</si>
  <si>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</si>
  <si>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</si>
  <si>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</si>
  <si>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</si>
  <si>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</si>
  <si>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</si>
  <si>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</si>
  <si>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</si>
  <si>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</si>
  <si>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</si>
  <si>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</si>
  <si>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</si>
  <si>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</si>
  <si>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</si>
  <si>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</si>
  <si>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</si>
  <si>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</si>
  <si>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</si>
  <si>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</si>
  <si>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</si>
  <si>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</si>
  <si>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</si>
  <si>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</si>
  <si>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</si>
  <si>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</si>
  <si>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</si>
  <si>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</si>
  <si>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</si>
  <si>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</si>
  <si>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</si>
  <si>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</si>
  <si>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</si>
  <si>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</si>
  <si>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</si>
  <si>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</si>
  <si>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</si>
  <si>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</si>
  <si>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</si>
  <si>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</si>
  <si>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</si>
  <si>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</si>
  <si>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</si>
  <si>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</si>
  <si>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</si>
  <si>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</si>
  <si>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</si>
  <si>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</si>
  <si>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</si>
  <si>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</si>
  <si>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</si>
  <si>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</si>
  <si>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</si>
  <si>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</si>
  <si>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</si>
  <si>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</si>
  <si>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</si>
  <si>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</si>
  <si>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</si>
  <si>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</si>
  <si>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</si>
  <si>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</si>
  <si>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</si>
  <si>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</si>
  <si>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</si>
  <si>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</si>
  <si>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</si>
  <si>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</si>
  <si>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</si>
  <si>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</si>
  <si>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</si>
  <si>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</si>
  <si>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</si>
  <si>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</si>
  <si>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</si>
  <si>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</si>
  <si>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</si>
  <si>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</si>
  <si>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</si>
  <si>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</si>
  <si>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</si>
  <si>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</si>
  <si>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</si>
  <si>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</si>
  <si>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</si>
  <si>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</si>
  <si>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</si>
  <si>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</si>
  <si>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</si>
  <si>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</si>
  <si>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</si>
  <si>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</si>
  <si>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</si>
  <si>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</si>
  <si>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</si>
  <si>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</si>
  <si>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</si>
  <si>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</si>
  <si>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</si>
  <si>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</si>
  <si>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</si>
  <si>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</si>
  <si>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</si>
  <si>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</si>
  <si>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</si>
  <si>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</si>
  <si>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</si>
  <si>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</si>
  <si>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</si>
  <si>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</si>
  <si>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</si>
  <si>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</si>
  <si>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</si>
  <si>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</si>
  <si>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</si>
  <si>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</si>
  <si>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</si>
  <si>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</si>
  <si>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</si>
  <si>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</si>
  <si>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</si>
  <si>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</si>
  <si>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</si>
  <si>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</si>
  <si>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</si>
  <si>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</si>
  <si>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</si>
  <si>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</si>
  <si>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</si>
  <si>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</si>
  <si>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</si>
  <si>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</si>
  <si>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</si>
  <si>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</si>
  <si>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</si>
  <si>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</si>
  <si>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</si>
  <si>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</si>
  <si>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</si>
  <si>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</si>
  <si>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</si>
  <si>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</si>
  <si>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</si>
  <si>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</si>
  <si>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</si>
  <si>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</si>
  <si>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</si>
  <si>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</si>
  <si>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</si>
  <si>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</si>
  <si>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</si>
  <si>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</si>
  <si>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</si>
  <si>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</si>
  <si>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</si>
  <si>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</si>
  <si>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</si>
  <si>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</si>
  <si>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</si>
  <si>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</si>
  <si>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</si>
  <si>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</si>
  <si>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</si>
  <si>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</si>
  <si>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</si>
  <si>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</si>
  <si>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</si>
  <si>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</si>
  <si>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</si>
  <si>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</si>
  <si>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</si>
  <si>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</si>
  <si>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</si>
  <si>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</si>
  <si>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</si>
  <si>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</si>
  <si>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</si>
  <si>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</si>
  <si>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</si>
  <si>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</si>
  <si>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</si>
  <si>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</si>
  <si>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</si>
  <si>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</si>
  <si>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</si>
  <si>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</si>
  <si>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</si>
  <si>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</si>
  <si>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</si>
  <si>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</si>
  <si>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</si>
  <si>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</si>
  <si>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</si>
  <si>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</si>
  <si>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</si>
  <si>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</si>
  <si>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</si>
  <si>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</si>
  <si>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</si>
  <si>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</si>
  <si>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</si>
  <si>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</si>
  <si>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</si>
  <si>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</si>
  <si>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</si>
  <si>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</si>
  <si>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</si>
  <si>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</si>
  <si>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</si>
  <si>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</si>
  <si>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</si>
  <si>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</si>
  <si>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</si>
  <si>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</si>
  <si>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</si>
  <si>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</si>
  <si>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</si>
  <si>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</si>
  <si>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</si>
  <si>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</si>
  <si>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</si>
  <si>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</si>
  <si>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</si>
  <si>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</si>
  <si>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</si>
  <si>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</si>
  <si>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</si>
  <si>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</si>
  <si>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</si>
  <si>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</si>
  <si>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</si>
  <si>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</si>
  <si>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</si>
  <si>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</si>
  <si>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</si>
  <si>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</si>
  <si>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</si>
  <si>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</si>
  <si>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</si>
  <si>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</si>
  <si>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</si>
  <si>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</si>
  <si>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</si>
  <si>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</si>
  <si>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</si>
  <si>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</si>
  <si>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</si>
  <si>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</si>
  <si>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</si>
  <si>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</si>
  <si>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</si>
  <si>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</si>
  <si>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</si>
  <si>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</si>
  <si>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</si>
  <si>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</si>
  <si>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</si>
  <si>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</si>
  <si>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</si>
  <si>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</si>
  <si>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</si>
  <si>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</si>
  <si>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</si>
  <si>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</si>
  <si>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</si>
  <si>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</si>
  <si>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</si>
  <si>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</si>
  <si>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</si>
  <si>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</si>
  <si>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</si>
  <si>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</si>
  <si>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</si>
  <si>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</si>
  <si>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</si>
  <si>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</si>
  <si>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</si>
  <si>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</si>
  <si>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</si>
  <si>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</si>
  <si>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</si>
  <si>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</si>
  <si>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</si>
  <si>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</si>
  <si>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</si>
  <si>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</si>
  <si>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</si>
  <si>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</si>
  <si>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</si>
  <si>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</si>
  <si>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</si>
  <si>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</si>
  <si>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</si>
  <si>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</si>
  <si>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</si>
  <si>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</si>
  <si>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</si>
  <si>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</si>
  <si>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</si>
  <si>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</si>
  <si>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</si>
  <si>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</si>
  <si>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</si>
  <si>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</si>
  <si>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</si>
  <si>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</si>
  <si>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</si>
  <si>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</si>
  <si>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</si>
  <si>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</si>
  <si>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</si>
  <si>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</si>
  <si>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</si>
  <si>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</si>
  <si>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</si>
  <si>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</si>
  <si>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</si>
  <si>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</si>
  <si>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</si>
  <si>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</si>
  <si>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</si>
  <si>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</si>
  <si>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</si>
  <si>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</si>
  <si>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</si>
  <si>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</si>
  <si>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</si>
  <si>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</si>
  <si>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</si>
  <si>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</si>
  <si>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</si>
  <si>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</si>
  <si>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</si>
  <si>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</si>
  <si>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</si>
  <si>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</si>
  <si>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</si>
  <si>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</si>
  <si>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</si>
  <si>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</si>
  <si>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</si>
  <si>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</si>
  <si>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</si>
  <si>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</si>
  <si>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</si>
  <si>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</si>
  <si>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</si>
  <si>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</si>
  <si>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</si>
  <si>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</si>
  <si>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</si>
  <si>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</si>
  <si>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</si>
  <si>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</si>
  <si>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</si>
  <si>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</si>
  <si>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</si>
  <si>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</si>
  <si>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</si>
  <si>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</si>
  <si>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</si>
  <si>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</si>
  <si>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</si>
  <si>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</si>
  <si>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</si>
  <si>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</si>
  <si>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</si>
  <si>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</si>
  <si>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</si>
  <si>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</si>
  <si>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</si>
  <si>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</si>
  <si>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</si>
  <si>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</si>
  <si>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</si>
  <si>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</si>
  <si>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</si>
  <si>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</si>
  <si>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</si>
  <si>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</si>
  <si>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</si>
  <si>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</si>
  <si>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</si>
  <si>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</si>
  <si>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</si>
  <si>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</si>
  <si>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</si>
  <si>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</si>
  <si>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</si>
  <si>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</si>
  <si>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</si>
  <si>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</si>
  <si>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</si>
  <si>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</si>
  <si>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</si>
  <si>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</si>
  <si>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</si>
  <si>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</si>
  <si>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</si>
  <si>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</si>
  <si>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</si>
  <si>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</si>
  <si>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</si>
  <si>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</si>
  <si>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</si>
  <si>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</si>
  <si>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</si>
  <si>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</si>
  <si>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</si>
  <si>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</si>
  <si>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</si>
  <si>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</si>
  <si>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</si>
  <si>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</si>
  <si>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</si>
  <si>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</si>
  <si>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</si>
  <si>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</si>
  <si>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</si>
  <si>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</si>
  <si>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</si>
  <si>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</si>
  <si>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</si>
  <si>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</si>
  <si>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</si>
  <si>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</si>
  <si>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</si>
  <si>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</si>
  <si>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</si>
  <si>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</si>
  <si>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</si>
  <si>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</si>
  <si>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</si>
  <si>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</si>
  <si>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</si>
  <si>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</si>
  <si>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</si>
  <si>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</si>
  <si>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</si>
  <si>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</si>
  <si>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</si>
  <si>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</si>
  <si>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</si>
  <si>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</si>
  <si>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</si>
  <si>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</si>
  <si>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</si>
  <si>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</si>
  <si>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</si>
  <si>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</si>
  <si>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</si>
  <si>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</si>
  <si>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</si>
  <si>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</si>
  <si>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</si>
  <si>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</si>
  <si>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</si>
  <si>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</si>
  <si>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</si>
  <si>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</si>
  <si>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</si>
  <si>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</si>
  <si>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</si>
  <si>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</si>
  <si>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</si>
  <si>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</si>
  <si>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</si>
  <si>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</si>
  <si>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</si>
  <si>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</si>
  <si>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</si>
  <si>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</si>
  <si>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</si>
  <si>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</si>
  <si>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</si>
  <si>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</si>
  <si>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</si>
  <si>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</si>
  <si>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</si>
  <si>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</si>
  <si>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</si>
  <si>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</si>
  <si>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</si>
  <si>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</si>
  <si>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</si>
  <si>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</si>
  <si>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</si>
  <si>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</si>
  <si>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</si>
  <si>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</si>
  <si>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</si>
  <si>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</si>
  <si>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</si>
  <si>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</si>
  <si>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</si>
  <si>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</si>
  <si>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</si>
  <si>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</si>
  <si>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</si>
  <si>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</si>
  <si>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</si>
  <si>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</si>
  <si>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</si>
  <si>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</si>
  <si>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</si>
  <si>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</si>
  <si>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</si>
  <si>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</si>
  <si>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</si>
  <si>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</si>
  <si>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</si>
  <si>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</si>
  <si>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</si>
  <si>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</si>
  <si>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</si>
  <si>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</si>
  <si>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</si>
  <si>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</si>
  <si>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</si>
  <si>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</si>
  <si>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</si>
  <si>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</si>
  <si>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</si>
  <si>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</si>
  <si>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</si>
  <si>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</si>
  <si>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</si>
  <si>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</si>
  <si>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</si>
  <si>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</si>
  <si>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</si>
  <si>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</si>
  <si>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</si>
  <si>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</si>
  <si>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</si>
  <si>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</si>
  <si>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</si>
  <si>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</si>
  <si>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</si>
  <si>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</si>
  <si>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</si>
  <si>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</si>
  <si>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</si>
  <si>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</si>
  <si>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</si>
  <si>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</si>
  <si>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</si>
  <si>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</si>
  <si>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</si>
  <si>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</si>
  <si>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</si>
  <si>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</si>
  <si>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</si>
  <si>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</si>
  <si>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</si>
  <si>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</si>
  <si>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</si>
  <si>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</si>
  <si>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</si>
  <si>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</si>
  <si>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</si>
  <si>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</si>
  <si>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</si>
  <si>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</si>
  <si>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</si>
  <si>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</si>
  <si>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</si>
  <si>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</si>
  <si>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</si>
  <si>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</si>
  <si>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</si>
  <si>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</si>
  <si>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</si>
  <si>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</si>
  <si>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</si>
  <si>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</si>
  <si>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</si>
  <si>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</si>
  <si>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</si>
  <si>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</si>
  <si>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</si>
  <si>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</si>
  <si>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</si>
  <si>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</si>
  <si>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</si>
  <si>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</si>
  <si>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</si>
  <si>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</si>
  <si>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</si>
  <si>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</si>
  <si>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</si>
  <si>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</si>
  <si>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</si>
  <si>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</si>
  <si>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</si>
  <si>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</si>
  <si>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</si>
  <si>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</si>
  <si>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</si>
  <si>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</si>
  <si>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</si>
  <si>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</si>
  <si>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</si>
  <si>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</si>
  <si>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</si>
  <si>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</si>
  <si>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</si>
  <si>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</si>
  <si>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</si>
  <si>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</si>
  <si>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</si>
  <si>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</si>
  <si>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</si>
  <si>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</si>
  <si>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</si>
  <si>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</si>
  <si>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</si>
  <si>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</si>
  <si>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</si>
  <si>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</si>
  <si>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</si>
  <si>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</si>
  <si>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</si>
  <si>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</si>
  <si>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</si>
  <si>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</si>
  <si>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</si>
  <si>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</si>
  <si>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</si>
  <si>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</si>
  <si>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</si>
  <si>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</si>
  <si>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</si>
  <si>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</si>
  <si>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</si>
  <si>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</si>
  <si>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</si>
  <si>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</si>
  <si>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</si>
  <si>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</si>
  <si>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</si>
  <si>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</si>
  <si>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</si>
  <si>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</si>
  <si>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</si>
  <si>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</si>
  <si>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</si>
  <si>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</si>
  <si>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</si>
  <si>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</si>
  <si>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</si>
  <si>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</si>
  <si>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</si>
  <si>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</si>
  <si>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</si>
  <si>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</si>
  <si>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</si>
  <si>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</si>
  <si>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</si>
  <si>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</si>
  <si>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</si>
  <si>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</si>
  <si>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</si>
  <si>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</si>
  <si>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</si>
  <si>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</si>
  <si>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</si>
  <si>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</si>
  <si>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</si>
  <si>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</si>
  <si>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</si>
  <si>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</si>
  <si>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</si>
  <si>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</si>
  <si>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</si>
  <si>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</si>
  <si>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</si>
  <si>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</si>
  <si>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</si>
  <si>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</si>
  <si>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</si>
  <si>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</si>
  <si>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</si>
  <si>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</si>
  <si>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</si>
  <si>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</si>
  <si>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</si>
  <si>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</si>
  <si>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</si>
  <si>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</si>
  <si>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</si>
  <si>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</si>
  <si>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</si>
  <si>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</si>
  <si>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</si>
  <si>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</si>
  <si>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</si>
  <si>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</si>
  <si>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</si>
  <si>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</si>
  <si>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</si>
  <si>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</si>
  <si>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</si>
  <si>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</si>
  <si>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</si>
  <si>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</si>
  <si>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</si>
  <si>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</si>
  <si>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</si>
  <si>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</si>
  <si>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</si>
  <si>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</si>
  <si>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</si>
  <si>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</si>
  <si>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</si>
  <si>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</si>
  <si>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</si>
  <si>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</si>
  <si>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</si>
  <si>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</si>
  <si>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</si>
  <si>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</si>
  <si>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</si>
  <si>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</si>
  <si>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</si>
  <si>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</si>
  <si>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</si>
  <si>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</si>
  <si>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</si>
  <si>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</si>
  <si>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</si>
  <si>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</si>
  <si>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</si>
  <si>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</si>
  <si>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</si>
  <si>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</si>
  <si>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</si>
  <si>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</si>
  <si>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</si>
  <si>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</si>
  <si>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</si>
  <si>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</si>
  <si>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</si>
  <si>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</si>
  <si>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</si>
  <si>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</si>
  <si>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</si>
  <si>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</si>
  <si>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</si>
  <si>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</si>
  <si>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</si>
  <si>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</si>
  <si>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</si>
  <si>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</si>
  <si>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</si>
  <si>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</si>
  <si>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</si>
  <si>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</si>
  <si>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</si>
  <si>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</si>
  <si>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</si>
  <si>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</si>
  <si>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</si>
  <si>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</si>
  <si>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</si>
  <si>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</si>
  <si>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</si>
  <si>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</si>
  <si>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</si>
  <si>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</si>
  <si>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</si>
  <si>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</si>
  <si>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</si>
  <si>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</si>
  <si>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</si>
  <si>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</si>
  <si>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</si>
  <si>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</si>
  <si>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</si>
  <si>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</si>
  <si>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</si>
  <si>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</si>
  <si>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</si>
  <si>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</si>
  <si>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</si>
  <si>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</si>
  <si>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</si>
  <si>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</si>
  <si>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</si>
  <si>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</si>
  <si>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</si>
  <si>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</si>
  <si>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</si>
  <si>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</si>
  <si>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</si>
  <si>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</si>
  <si>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</si>
  <si>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</si>
  <si>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</si>
  <si>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</si>
  <si>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</si>
  <si>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</si>
  <si>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</si>
  <si>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</si>
  <si>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</si>
  <si>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</si>
  <si>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</si>
  <si>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</si>
  <si>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</si>
  <si>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</si>
  <si>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</si>
  <si>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</si>
  <si>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</si>
  <si>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</si>
  <si>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</si>
  <si>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</si>
  <si>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</si>
  <si>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</si>
  <si>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</si>
  <si>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</si>
  <si>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</si>
  <si>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</si>
  <si>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</si>
  <si>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</si>
  <si>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</si>
  <si>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</si>
  <si>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</si>
  <si>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</si>
  <si>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</si>
  <si>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</si>
  <si>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</si>
  <si>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</si>
  <si>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</si>
  <si>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</si>
  <si>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</si>
  <si>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</si>
  <si>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</si>
  <si>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</si>
  <si>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</si>
  <si>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</si>
  <si>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</si>
  <si>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</si>
  <si>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</si>
  <si>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</si>
  <si>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</si>
  <si>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</si>
  <si>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</si>
  <si>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</si>
  <si>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</si>
  <si>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</si>
  <si>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</si>
  <si>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</si>
  <si>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</si>
  <si>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</si>
  <si>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</si>
  <si>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</si>
  <si>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</si>
  <si>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</si>
  <si>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</si>
  <si>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</si>
  <si>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</si>
  <si>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</si>
  <si>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</si>
  <si>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</si>
  <si>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</si>
  <si>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</si>
  <si>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</si>
  <si>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</si>
  <si>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</si>
  <si>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</si>
  <si>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</si>
  <si>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</si>
  <si>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</si>
  <si>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</si>
  <si>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</si>
  <si>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</si>
  <si>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</si>
  <si>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</si>
  <si>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</si>
  <si>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</si>
  <si>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</si>
  <si>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</si>
  <si>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</si>
  <si>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</si>
  <si>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</si>
  <si>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</si>
  <si>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</si>
  <si>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</si>
  <si>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</si>
  <si>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</si>
  <si>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</si>
  <si>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</si>
  <si>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</si>
  <si>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</si>
  <si>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</si>
  <si>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</si>
  <si>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</si>
  <si>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</si>
  <si>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</si>
  <si>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</si>
  <si>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</si>
  <si>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</si>
  <si>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</si>
  <si>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</si>
  <si>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</si>
  <si>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</si>
  <si>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</si>
  <si>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</si>
  <si>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</si>
  <si>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</si>
  <si>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</si>
  <si>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</si>
  <si>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</si>
  <si>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</si>
  <si>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</si>
  <si>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</si>
  <si>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</si>
  <si>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</si>
  <si>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</si>
  <si>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</si>
  <si>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</si>
  <si>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</si>
  <si>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</si>
  <si>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</si>
  <si>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</si>
  <si>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</si>
  <si>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</si>
  <si>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</si>
  <si>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</si>
  <si>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</si>
  <si>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</si>
  <si>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</si>
  <si>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</si>
  <si>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</si>
  <si>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</si>
  <si>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</si>
  <si>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</si>
  <si>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</si>
  <si>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</si>
  <si>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</si>
  <si>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</si>
  <si>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</si>
  <si>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</si>
  <si>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</si>
  <si>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</si>
  <si>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</si>
  <si>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</si>
  <si>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</si>
  <si>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</si>
  <si>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</si>
  <si>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</si>
  <si>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</si>
  <si>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</si>
  <si>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</si>
  <si>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</si>
  <si>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</si>
  <si>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</si>
  <si>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</si>
  <si>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</si>
  <si>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</si>
  <si>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</si>
  <si>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</si>
  <si>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</si>
  <si>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</si>
  <si>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</si>
  <si>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</si>
  <si>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</si>
  <si>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</si>
  <si>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</si>
  <si>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</si>
  <si>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</si>
  <si>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</si>
  <si>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</si>
  <si>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</si>
  <si>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</si>
  <si>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</si>
  <si>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</si>
  <si>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</si>
  <si>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</si>
  <si>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</si>
  <si>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</si>
  <si>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</si>
  <si>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</si>
  <si>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</si>
  <si>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</si>
  <si>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</si>
  <si>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</si>
  <si>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</si>
  <si>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</si>
  <si>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</si>
  <si>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</si>
  <si>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</si>
  <si>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</si>
  <si>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</si>
  <si>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</si>
  <si>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</si>
  <si>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</si>
  <si>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</si>
  <si>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</si>
  <si>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</si>
  <si>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</si>
  <si>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</si>
  <si>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</si>
  <si>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</si>
  <si>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</si>
  <si>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</si>
  <si>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</si>
  <si>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</si>
  <si>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</si>
  <si>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</si>
  <si>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</si>
  <si>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</si>
  <si>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</si>
  <si>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</si>
  <si>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</si>
  <si>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</si>
  <si>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</si>
  <si>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</si>
  <si>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</si>
  <si>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</si>
  <si>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</si>
  <si>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</si>
  <si>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</si>
  <si>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</si>
  <si>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</si>
  <si>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</si>
  <si>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</si>
  <si>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</si>
  <si>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</si>
  <si>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</si>
  <si>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</si>
  <si>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</si>
  <si>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</si>
  <si>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</si>
  <si>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</si>
  <si>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</si>
  <si>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</si>
  <si>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</si>
  <si>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</si>
  <si>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</si>
  <si>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</si>
  <si>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</si>
  <si>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</si>
  <si>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</si>
  <si>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</si>
  <si>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</si>
  <si>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</si>
  <si>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</si>
  <si>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</si>
  <si>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</si>
  <si>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</si>
  <si>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</si>
  <si>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</si>
  <si>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</si>
  <si>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</si>
  <si>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</si>
  <si>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</si>
  <si>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</si>
  <si>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</si>
  <si>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</si>
  <si>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</si>
  <si>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</si>
  <si>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</si>
  <si>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</si>
  <si>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</si>
  <si>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</si>
  <si>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</si>
  <si>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</si>
  <si>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</si>
  <si>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</si>
  <si>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</si>
  <si>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</si>
  <si>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</si>
  <si>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</si>
  <si>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</si>
  <si>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</si>
  <si>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</si>
  <si>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</si>
  <si>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</si>
  <si>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</si>
  <si>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</si>
  <si>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</si>
  <si>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</si>
  <si>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</si>
  <si>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</si>
  <si>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</si>
  <si>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</si>
  <si>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</si>
  <si>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</si>
  <si>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</si>
  <si>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</si>
  <si>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</si>
  <si>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</si>
  <si>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</si>
  <si>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</si>
  <si>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</si>
  <si>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</si>
  <si>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</si>
  <si>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</si>
  <si>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</si>
  <si>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</si>
  <si>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</si>
  <si>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</si>
  <si>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</si>
  <si>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</si>
  <si>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</si>
  <si>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</si>
  <si>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</si>
  <si>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</si>
  <si>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</si>
  <si>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</si>
  <si>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</si>
  <si>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</si>
  <si>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</si>
  <si>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</si>
  <si>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</si>
  <si>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</si>
  <si>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</si>
  <si>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</si>
  <si>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</si>
  <si>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</si>
  <si>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</si>
  <si>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</si>
  <si>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</si>
  <si>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</si>
  <si>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</si>
  <si>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</si>
  <si>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</si>
  <si>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</si>
  <si>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</si>
  <si>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</si>
  <si>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</si>
  <si>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</si>
  <si>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</si>
  <si>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</si>
  <si>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</si>
  <si>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</si>
  <si>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</si>
  <si>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</si>
  <si>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</si>
  <si>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</si>
  <si>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</si>
  <si>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</si>
  <si>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</si>
  <si>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</si>
  <si>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</si>
  <si>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</si>
  <si>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</si>
  <si>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</si>
  <si>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</si>
  <si>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</si>
  <si>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</si>
  <si>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</si>
  <si>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</si>
  <si>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</si>
  <si>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</si>
  <si>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</si>
  <si>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</si>
  <si>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</si>
  <si>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</si>
  <si>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</si>
  <si>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</si>
  <si>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</si>
  <si>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</si>
  <si>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</si>
  <si>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</si>
  <si>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</si>
  <si>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</si>
  <si>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</si>
  <si>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</si>
  <si>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</si>
  <si>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</si>
  <si>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</si>
  <si>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</si>
  <si>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</si>
  <si>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</si>
  <si>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</si>
  <si>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</si>
  <si>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</si>
  <si>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</si>
  <si>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</si>
  <si>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</si>
  <si>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</si>
  <si>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</si>
  <si>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</si>
  <si>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</si>
  <si>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</si>
  <si>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</si>
  <si>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</si>
  <si>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</si>
  <si>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</si>
  <si>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</si>
  <si>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</si>
  <si>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</si>
  <si>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</si>
  <si>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</si>
  <si>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</si>
  <si>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</si>
  <si>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</si>
  <si>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</si>
  <si>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</si>
  <si>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</si>
  <si>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</si>
  <si>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</si>
  <si>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</si>
  <si>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</si>
  <si>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</si>
  <si>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</si>
  <si>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</si>
  <si>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</si>
  <si>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</si>
  <si>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</si>
  <si>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</si>
  <si>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</si>
  <si>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</si>
  <si>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</si>
  <si>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</si>
  <si>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</si>
  <si>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</si>
  <si>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</si>
  <si>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</si>
  <si>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</si>
  <si>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</si>
  <si>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</si>
  <si>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</si>
  <si>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</si>
  <si>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</si>
  <si>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</si>
  <si>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</si>
  <si>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</si>
  <si>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</si>
  <si>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</si>
  <si>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</si>
  <si>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</si>
  <si>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</si>
  <si>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</si>
  <si>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</si>
  <si>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</si>
  <si>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</si>
  <si>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</si>
  <si>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</si>
  <si>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</si>
  <si>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</si>
  <si>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</si>
  <si>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</si>
  <si>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</si>
  <si>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</si>
  <si>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</si>
  <si>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</si>
  <si>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</si>
  <si>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</si>
  <si>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</si>
  <si>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</si>
  <si>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</si>
  <si>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</si>
  <si>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</si>
  <si>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</si>
  <si>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</si>
  <si>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</si>
  <si>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</si>
  <si>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</si>
  <si>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</si>
  <si>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</si>
  <si>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</si>
  <si>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</si>
  <si>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</si>
  <si>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</si>
  <si>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</si>
  <si>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</si>
  <si>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</si>
  <si>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</si>
  <si>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</si>
  <si>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</si>
  <si>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</si>
  <si>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</si>
  <si>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</si>
  <si>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</si>
  <si>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</si>
  <si>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</si>
  <si>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</si>
  <si>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</si>
  <si>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</si>
  <si>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</si>
  <si>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</si>
  <si>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</si>
  <si>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</si>
  <si>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</si>
  <si>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</si>
  <si>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</si>
  <si>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</si>
  <si>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</si>
  <si>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</si>
  <si>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</si>
  <si>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</si>
  <si>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</si>
  <si>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</si>
  <si>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</si>
  <si>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</si>
  <si>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</si>
  <si>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</si>
  <si>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</si>
  <si>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</si>
  <si>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</si>
  <si>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</si>
  <si>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</si>
  <si>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</si>
  <si>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</si>
  <si>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</si>
  <si>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</si>
  <si>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</si>
  <si>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</si>
  <si>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</si>
  <si>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</si>
  <si>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</si>
  <si>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</si>
  <si>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</si>
  <si>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</si>
  <si>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</si>
  <si>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</si>
  <si>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</si>
  <si>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</si>
  <si>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</si>
  <si>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</si>
  <si>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</si>
  <si>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</si>
  <si>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</si>
  <si>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</si>
  <si>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</si>
  <si>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</si>
  <si>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</si>
  <si>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</si>
  <si>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</si>
  <si>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</si>
  <si>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</si>
  <si>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</si>
  <si>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</si>
  <si>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</si>
  <si>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</si>
  <si>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</si>
  <si>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</si>
  <si>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</si>
  <si>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</si>
  <si>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</si>
  <si>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</si>
  <si>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</si>
  <si>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</si>
  <si>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</si>
  <si>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</si>
  <si>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</si>
  <si>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</si>
  <si>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</si>
  <si>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</si>
  <si>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</si>
  <si>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</si>
  <si>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</si>
  <si>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</si>
  <si>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</si>
  <si>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</si>
  <si>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</si>
  <si>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</si>
  <si>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</si>
  <si>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</si>
  <si>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</si>
  <si>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</si>
  <si>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</si>
  <si>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</si>
  <si>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</si>
  <si>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</si>
  <si>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</si>
  <si>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</si>
  <si>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</si>
  <si>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</si>
  <si>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</si>
  <si>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</si>
  <si>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</si>
  <si>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</si>
  <si>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</si>
  <si>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</si>
  <si>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</si>
  <si>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</si>
  <si>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</si>
  <si>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</si>
  <si>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</si>
  <si>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</si>
  <si>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</si>
  <si>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</si>
  <si>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</si>
  <si>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</si>
  <si>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</si>
  <si>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</si>
  <si>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</si>
  <si>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</si>
  <si>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</si>
  <si>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</si>
  <si>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</si>
  <si>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</si>
  <si>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</si>
  <si>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</si>
  <si>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</si>
  <si>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</si>
  <si>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</si>
  <si>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</si>
  <si>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</si>
  <si>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</si>
  <si>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</si>
  <si>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</si>
  <si>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</si>
  <si>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</si>
  <si>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</si>
  <si>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</si>
  <si>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</si>
  <si>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</si>
  <si>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</si>
  <si>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</si>
  <si>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</si>
  <si>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</si>
  <si>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</si>
  <si>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</si>
  <si>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</si>
  <si>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</si>
  <si>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</si>
  <si>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</si>
  <si>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</si>
  <si>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</si>
  <si>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</si>
  <si>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</si>
  <si>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</si>
  <si>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</si>
  <si>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</si>
  <si>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</si>
  <si>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</si>
  <si>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</si>
  <si>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</si>
  <si>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</si>
  <si>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</si>
  <si>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</si>
  <si>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</si>
  <si>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</si>
  <si>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</si>
  <si>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</si>
  <si>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</si>
  <si>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</si>
  <si>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</si>
  <si>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</si>
  <si>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</si>
  <si>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</si>
  <si>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</si>
  <si>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</si>
  <si>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</si>
  <si>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</si>
  <si>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</si>
  <si>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</si>
  <si>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</si>
  <si>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</si>
  <si>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</si>
  <si>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</si>
  <si>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</si>
  <si>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</si>
  <si>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</si>
  <si>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</si>
  <si>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</si>
  <si>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</si>
  <si>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</si>
  <si>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</si>
  <si>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</si>
  <si>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</si>
  <si>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</si>
  <si>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</si>
  <si>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</si>
  <si>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</si>
  <si>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</si>
  <si>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</si>
  <si>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</si>
  <si>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</si>
  <si>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</si>
  <si>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</si>
  <si>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</si>
  <si>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</si>
  <si>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</si>
  <si>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</si>
  <si>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</si>
  <si>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</si>
  <si>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</si>
  <si>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</si>
  <si>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</si>
  <si>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</si>
  <si>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</si>
  <si>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</si>
  <si>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</si>
  <si>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</si>
  <si>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</si>
  <si>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</si>
  <si>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</si>
  <si>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</si>
  <si>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</si>
  <si>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</si>
  <si>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</si>
  <si>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</si>
  <si>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</si>
  <si>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</si>
  <si>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</si>
  <si>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</si>
  <si>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</si>
  <si>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</si>
  <si>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</si>
  <si>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</si>
  <si>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</si>
  <si>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</si>
  <si>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</si>
  <si>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</si>
  <si>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</si>
  <si>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</si>
  <si>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</si>
  <si>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</si>
  <si>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</si>
  <si>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</si>
  <si>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</si>
  <si>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</si>
  <si>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</si>
  <si>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</si>
  <si>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</si>
  <si>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</si>
  <si>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</si>
  <si>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</si>
  <si>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</si>
  <si>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</si>
  <si>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</si>
  <si>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</si>
  <si>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</si>
  <si>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</si>
  <si>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</si>
  <si>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</si>
  <si>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</si>
  <si>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</si>
  <si>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</si>
  <si>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</si>
  <si>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</si>
  <si>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</si>
  <si>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</si>
  <si>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</si>
  <si>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</si>
  <si>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Tierra Blanca Guanajuato</t>
  </si>
  <si>
    <t>Al 31 de diciembre de 2020 y al 31 de diciembre de 2021 (b)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</si>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</sst>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8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4">
    <xf numFmtId="0" fontId="0" fillId="0" borderId="0"/>
    <xf numFmtId="168" fontId="15" fillId="0" borderId="0" applyFont="0" applyFill="0" applyBorder="0" applyAlignment="0" applyProtection="0"/>
    <xf numFmtId="0" fontId="16" fillId="0" borderId="0"/>
    <xf numFmtId="0" fontId="17" fillId="0" borderId="0"/>
  </cellStyleXfs>
  <cellXfs count="2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168" fontId="15" fillId="0" borderId="13" xfId="1" applyFont="1" applyFill="1" applyBorder="1" applyAlignment="1" applyProtection="1">
      <alignment horizontal="right" vertical="center"/>
      <protection locked="0"/>
    </xf>
    <xf numFmtId="168" fontId="0" fillId="0" borderId="13" xfId="1" applyFont="1" applyFill="1" applyBorder="1" applyAlignment="1" applyProtection="1">
      <alignment horizontal="right" vertical="center"/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6" fillId="0" borderId="13" xfId="1" applyFont="1" applyFill="1" applyBorder="1" applyProtection="1">
      <protection locked="0"/>
    </xf>
    <xf numFmtId="168" fontId="15" fillId="0" borderId="13" xfId="1" applyFont="1" applyFill="1" applyBorder="1" applyProtection="1"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43" fontId="0" fillId="0" borderId="8" xfId="0" applyNumberFormat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4" borderId="13" xfId="1" applyFont="1" applyFill="1" applyBorder="1" applyAlignment="1" applyProtection="1">
      <alignment vertical="center"/>
      <protection locked="0"/>
    </xf>
    <xf numFmtId="168" fontId="15" fillId="4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13" xfId="1" applyFont="1" applyFill="1" applyBorder="1" applyAlignment="1" applyProtection="1">
      <alignment vertical="center"/>
      <protection locked="0"/>
    </xf>
    <xf numFmtId="168" fontId="15" fillId="0" borderId="13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vertical="center" wrapText="1"/>
      <protection locked="0"/>
    </xf>
    <xf numFmtId="168" fontId="15" fillId="0" borderId="8" xfId="1" applyFont="1" applyFill="1" applyBorder="1" applyAlignment="1" applyProtection="1">
      <alignment vertical="center"/>
      <protection locked="0"/>
    </xf>
    <xf numFmtId="168" fontId="0" fillId="0" borderId="8" xfId="1" applyFont="1" applyFill="1" applyBorder="1" applyAlignment="1" applyProtection="1">
      <alignment horizontal="right" vertical="center"/>
      <protection locked="0"/>
    </xf>
    <xf numFmtId="168" fontId="15" fillId="0" borderId="8" xfId="1" applyFont="1" applyFill="1" applyBorder="1" applyAlignment="1" applyProtection="1">
      <alignment horizontal="right" vertical="center"/>
      <protection locked="0"/>
    </xf>
    <xf numFmtId="168" fontId="0" fillId="0" borderId="8" xfId="1" applyFont="1" applyFill="1" applyBorder="1" applyAlignment="1" applyProtection="1">
      <alignment horizontal="right" vertical="center"/>
      <protection locked="0"/>
    </xf>
    <xf numFmtId="168" fontId="15" fillId="0" borderId="8" xfId="1" applyFont="1" applyFill="1" applyBorder="1" applyAlignment="1" applyProtection="1">
      <alignment horizontal="right" vertical="center"/>
      <protection locked="0"/>
    </xf>
  </cellXfs>
  <cellStyles count="4">
    <cellStyle name="Millares 2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8" t="s">
        <v>829</v>
      </c>
      <c r="B1" s="149"/>
      <c r="C1" s="149"/>
      <c r="D1" s="149"/>
      <c r="E1" s="150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1" t="s">
        <v>3302</v>
      </c>
      <c r="D3" s="151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abSelected="1" topLeftCell="A28" workbookViewId="0">
      <selection activeCell="A29" sqref="A29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4" t="s">
        <v>542</v>
      </c>
      <c r="B1" s="164"/>
      <c r="C1" s="164"/>
      <c r="D1" s="164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2" t="str">
        <f>ENTE_PUBLICO_A</f>
        <v>Municipio de Tierra Blanca Guanajuato, Gobierno del Estado de Guanajuato (a)</v>
      </c>
      <c r="B2" s="153"/>
      <c r="C2" s="153"/>
      <c r="D2" s="154"/>
    </row>
    <row r="3" spans="1:11" ht="14.25" x14ac:dyDescent="0.45">
      <c r="A3" s="155" t="s">
        <v>166</v>
      </c>
      <c r="B3" s="156"/>
      <c r="C3" s="156"/>
      <c r="D3" s="157"/>
    </row>
    <row r="4" spans="1:11" ht="14.25" x14ac:dyDescent="0.45">
      <c r="A4" s="158" t="str">
        <f>TRIMESTRE</f>
        <v>Del 1 de enero al 31 de diciembre de 2021 (b)</v>
      </c>
      <c r="B4" s="159"/>
      <c r="C4" s="159"/>
      <c r="D4" s="160"/>
    </row>
    <row r="5" spans="1:11" ht="14.25" x14ac:dyDescent="0.45">
      <c r="A5" s="161" t="s">
        <v>118</v>
      </c>
      <c r="B5" s="162"/>
      <c r="C5" s="162"/>
      <c r="D5" s="163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94673000</v>
      </c>
      <c r="C8" s="40">
        <f t="shared" ref="C8:D8" si="0">SUM(C9:C11)</f>
        <v>118950966.59</v>
      </c>
      <c r="D8" s="40">
        <f t="shared" si="0"/>
        <v>118950966.59</v>
      </c>
    </row>
    <row r="9" spans="1:11" x14ac:dyDescent="0.25">
      <c r="A9" s="53" t="s">
        <v>169</v>
      </c>
      <c r="B9" s="193">
        <v>55673000</v>
      </c>
      <c r="C9" s="195">
        <v>78557220.590000004</v>
      </c>
      <c r="D9" s="198">
        <v>78557220.590000004</v>
      </c>
    </row>
    <row r="10" spans="1:11" ht="14.25" customHeight="1" x14ac:dyDescent="0.25">
      <c r="A10" s="53" t="s">
        <v>170</v>
      </c>
      <c r="B10" s="193">
        <v>39000000</v>
      </c>
      <c r="C10" s="195">
        <v>38393746</v>
      </c>
      <c r="D10" s="198">
        <v>38393746</v>
      </c>
    </row>
    <row r="11" spans="1:11" ht="14.25" customHeight="1" x14ac:dyDescent="0.25">
      <c r="A11" s="53" t="s">
        <v>171</v>
      </c>
      <c r="B11" s="193">
        <v>0</v>
      </c>
      <c r="C11" s="195">
        <v>2000000</v>
      </c>
      <c r="D11" s="198">
        <v>2000000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94673000</v>
      </c>
      <c r="C13" s="40">
        <f t="shared" ref="C13:D13" si="1">C14+C15</f>
        <v>119821079.06999999</v>
      </c>
      <c r="D13" s="40">
        <f t="shared" si="1"/>
        <v>115541655.11</v>
      </c>
    </row>
    <row r="14" spans="1:11" x14ac:dyDescent="0.25">
      <c r="A14" s="53" t="s">
        <v>172</v>
      </c>
      <c r="B14" s="194">
        <v>55673000</v>
      </c>
      <c r="C14" s="196">
        <v>58161151.490000002</v>
      </c>
      <c r="D14" s="199">
        <v>57682447.829999998</v>
      </c>
    </row>
    <row r="15" spans="1:11" x14ac:dyDescent="0.25">
      <c r="A15" s="53" t="s">
        <v>173</v>
      </c>
      <c r="B15" s="194">
        <v>39000000</v>
      </c>
      <c r="C15" s="196">
        <v>61659927.579999998</v>
      </c>
      <c r="D15" s="199">
        <v>57859207.280000001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7">
        <f>B18+B19</f>
        <v>0</v>
      </c>
      <c r="C17" s="40">
        <f t="shared" ref="C17" si="2">C18+C19</f>
        <v>12852793.6</v>
      </c>
      <c r="D17" s="40">
        <f>D18+D19</f>
        <v>12852793.6</v>
      </c>
    </row>
    <row r="18" spans="1:4" x14ac:dyDescent="0.25">
      <c r="A18" s="53" t="s">
        <v>175</v>
      </c>
      <c r="B18" s="118">
        <v>0</v>
      </c>
      <c r="C18" s="197">
        <v>8501360.1199999992</v>
      </c>
      <c r="D18" s="201">
        <v>8501360.1199999992</v>
      </c>
    </row>
    <row r="19" spans="1:4" x14ac:dyDescent="0.25">
      <c r="A19" s="53" t="s">
        <v>176</v>
      </c>
      <c r="B19" s="118">
        <v>0</v>
      </c>
      <c r="C19" s="197">
        <v>4351433.4800000004</v>
      </c>
      <c r="D19" s="200">
        <v>4351433.4800000004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11982681.12000001</v>
      </c>
      <c r="D21" s="40">
        <f t="shared" si="3"/>
        <v>16262105.080000004</v>
      </c>
    </row>
    <row r="22" spans="1:4" ht="14.25" x14ac:dyDescent="0.4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4">C21-C11</f>
        <v>9982681.1200000104</v>
      </c>
      <c r="D23" s="40">
        <f t="shared" si="4"/>
        <v>14262105.080000004</v>
      </c>
    </row>
    <row r="24" spans="1:4" x14ac:dyDescent="0.25">
      <c r="A24" s="55"/>
      <c r="B24" s="17"/>
      <c r="C24" s="17"/>
      <c r="D24" s="17"/>
    </row>
    <row r="25" spans="1:4" x14ac:dyDescent="0.25">
      <c r="A25" s="119" t="s">
        <v>179</v>
      </c>
      <c r="B25" s="40">
        <f>B23-B17</f>
        <v>0</v>
      </c>
      <c r="C25" s="40">
        <f t="shared" ref="C25" si="5">C23-C17</f>
        <v>-2870112.4799999893</v>
      </c>
      <c r="D25" s="40">
        <f>D23-D17</f>
        <v>1409311.4800000042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-2870112.4799999893</v>
      </c>
      <c r="D33" s="61">
        <f t="shared" ref="C33:D33" si="7">D25+D29</f>
        <v>1409311.4800000042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55673000</v>
      </c>
      <c r="C48" s="123">
        <f>C9</f>
        <v>78557220.590000004</v>
      </c>
      <c r="D48" s="123">
        <f t="shared" ref="D48" si="11">D9</f>
        <v>78557220.590000004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7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55673000</v>
      </c>
      <c r="C53" s="60">
        <f t="shared" ref="C53:D53" si="13">C14</f>
        <v>58161151.490000002</v>
      </c>
      <c r="D53" s="60">
        <f t="shared" si="13"/>
        <v>57682447.829999998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4">C18</f>
        <v>8501360.1199999992</v>
      </c>
      <c r="D55" s="60">
        <f t="shared" si="14"/>
        <v>8501360.1199999992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0</v>
      </c>
      <c r="C57" s="61">
        <f>C48+C49-C53+C55</f>
        <v>28897429.219999999</v>
      </c>
      <c r="D57" s="61">
        <f t="shared" ref="D57" si="15">D48+D49-D53+D55</f>
        <v>29376132.880000003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0</v>
      </c>
      <c r="C59" s="61">
        <f t="shared" ref="C59:D59" si="16">C57-C49</f>
        <v>28897429.219999999</v>
      </c>
      <c r="D59" s="61">
        <f t="shared" si="16"/>
        <v>29376132.880000003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39000000</v>
      </c>
      <c r="C63" s="121">
        <f t="shared" ref="C63:D63" si="17">C10</f>
        <v>38393746</v>
      </c>
      <c r="D63" s="121">
        <f t="shared" si="17"/>
        <v>38393746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60">
        <v>0</v>
      </c>
      <c r="C65" s="60">
        <v>0</v>
      </c>
      <c r="D65" s="60">
        <v>0</v>
      </c>
    </row>
    <row r="66" spans="1:4" x14ac:dyDescent="0.25">
      <c r="A66" s="127" t="s">
        <v>196</v>
      </c>
      <c r="B66" s="60">
        <v>0</v>
      </c>
      <c r="C66" s="60">
        <v>0</v>
      </c>
      <c r="D66" s="60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39000000</v>
      </c>
      <c r="C68" s="23">
        <f t="shared" ref="C68:D68" si="19">C15</f>
        <v>61659927.579999998</v>
      </c>
      <c r="D68" s="23">
        <f t="shared" si="19"/>
        <v>57859207.280000001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20">C19</f>
        <v>4351433.4800000004</v>
      </c>
      <c r="D70" s="23">
        <f t="shared" si="20"/>
        <v>4351433.4800000004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21">C63+C64-C68+C70</f>
        <v>-18914748.099999998</v>
      </c>
      <c r="D72" s="40">
        <f t="shared" si="21"/>
        <v>-15114027.800000001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-18914748.099999998</v>
      </c>
      <c r="D74" s="40">
        <f t="shared" ref="D74" si="22">D72-D64</f>
        <v>-15114027.800000001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disablePrompts="1"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94673000</v>
      </c>
      <c r="Q2" s="18">
        <f>'Formato 4'!C8</f>
        <v>118950966.59</v>
      </c>
      <c r="R2" s="18">
        <f>'Formato 4'!D8</f>
        <v>118950966.59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55673000</v>
      </c>
      <c r="Q3" s="18">
        <f>'Formato 4'!C9</f>
        <v>78557220.590000004</v>
      </c>
      <c r="R3" s="18">
        <f>'Formato 4'!D9</f>
        <v>78557220.590000004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39000000</v>
      </c>
      <c r="Q4" s="18">
        <f>'Formato 4'!C10</f>
        <v>38393746</v>
      </c>
      <c r="R4" s="18">
        <f>'Formato 4'!D10</f>
        <v>38393746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2000000</v>
      </c>
      <c r="R5" s="18">
        <f>'Formato 4'!D11</f>
        <v>2000000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94673000</v>
      </c>
      <c r="Q6" s="18">
        <f>'Formato 4'!C13</f>
        <v>119821079.06999999</v>
      </c>
      <c r="R6" s="18">
        <f>'Formato 4'!D13</f>
        <v>115541655.11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55673000</v>
      </c>
      <c r="Q7" s="18">
        <f>'Formato 4'!C14</f>
        <v>58161151.490000002</v>
      </c>
      <c r="R7" s="18">
        <f>'Formato 4'!D14</f>
        <v>57682447.829999998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39000000</v>
      </c>
      <c r="Q8" s="18">
        <f>'Formato 4'!C15</f>
        <v>61659927.579999998</v>
      </c>
      <c r="R8" s="18">
        <f>'Formato 4'!D15</f>
        <v>57859207.280000001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12852793.6</v>
      </c>
      <c r="R9" s="18">
        <f>'Formato 4'!D17</f>
        <v>12852793.6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8501360.1199999992</v>
      </c>
      <c r="R10" s="18">
        <f>'Formato 4'!D18</f>
        <v>8501360.1199999992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4351433.4800000004</v>
      </c>
      <c r="R11" s="18">
        <f>'Formato 4'!D19</f>
        <v>4351433.4800000004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11982681.12000001</v>
      </c>
      <c r="R12" s="18">
        <f>'Formato 4'!D21</f>
        <v>16262105.080000004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9982681.1200000104</v>
      </c>
      <c r="R13" s="18">
        <f>'Formato 4'!D23</f>
        <v>14262105.080000004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-2870112.4799999893</v>
      </c>
      <c r="R14" s="18">
        <f>'Formato 4'!D25</f>
        <v>1409311.4800000042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-2870112.4799999893</v>
      </c>
      <c r="R18">
        <f>'Formato 4'!D33</f>
        <v>1409311.4800000042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55673000</v>
      </c>
      <c r="Q26">
        <f>'Formato 4'!C48</f>
        <v>78557220.590000004</v>
      </c>
      <c r="R26">
        <f>'Formato 4'!D48</f>
        <v>78557220.590000004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55673000</v>
      </c>
      <c r="Q30">
        <f>'Formato 4'!C53</f>
        <v>58161151.490000002</v>
      </c>
      <c r="R30">
        <f>'Formato 4'!D53</f>
        <v>57682447.829999998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8501360.1199999992</v>
      </c>
      <c r="R31">
        <f>'Formato 4'!D55</f>
        <v>8501360.1199999992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39000000</v>
      </c>
      <c r="Q32">
        <f>'Formato 4'!C63</f>
        <v>38393746</v>
      </c>
      <c r="R32">
        <f>'Formato 4'!D63</f>
        <v>38393746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39000000</v>
      </c>
      <c r="Q36">
        <f>'Formato 4'!C68</f>
        <v>61659927.579999998</v>
      </c>
      <c r="R36">
        <f>'Formato 4'!D68</f>
        <v>57859207.280000001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4351433.4800000004</v>
      </c>
      <c r="R37">
        <f>'Formato 4'!D70</f>
        <v>4351433.4800000004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-18914748.099999998</v>
      </c>
      <c r="R38">
        <f>'Formato 4'!D72</f>
        <v>-15114027.800000001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-18914748.099999998</v>
      </c>
      <c r="R39">
        <f>'Formato 4'!D74</f>
        <v>-15114027.800000001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0" zoomScale="85" zoomScaleNormal="85" workbookViewId="0">
      <selection activeCell="G42" sqref="G42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0" t="s">
        <v>206</v>
      </c>
      <c r="B1" s="170"/>
      <c r="C1" s="170"/>
      <c r="D1" s="170"/>
      <c r="E1" s="170"/>
      <c r="F1" s="170"/>
      <c r="G1" s="170"/>
    </row>
    <row r="2" spans="1:8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4"/>
    </row>
    <row r="3" spans="1:8" x14ac:dyDescent="0.25">
      <c r="A3" s="155" t="s">
        <v>207</v>
      </c>
      <c r="B3" s="156"/>
      <c r="C3" s="156"/>
      <c r="D3" s="156"/>
      <c r="E3" s="156"/>
      <c r="F3" s="156"/>
      <c r="G3" s="157"/>
    </row>
    <row r="4" spans="1:8" ht="14.25" x14ac:dyDescent="0.45">
      <c r="A4" s="158" t="str">
        <f>TRIMESTRE</f>
        <v>Del 1 de enero al 31 de diciembre de 2021 (b)</v>
      </c>
      <c r="B4" s="159"/>
      <c r="C4" s="159"/>
      <c r="D4" s="159"/>
      <c r="E4" s="159"/>
      <c r="F4" s="159"/>
      <c r="G4" s="160"/>
    </row>
    <row r="5" spans="1:8" ht="14.25" x14ac:dyDescent="0.45">
      <c r="A5" s="161" t="s">
        <v>118</v>
      </c>
      <c r="B5" s="162"/>
      <c r="C5" s="162"/>
      <c r="D5" s="162"/>
      <c r="E5" s="162"/>
      <c r="F5" s="162"/>
      <c r="G5" s="163"/>
    </row>
    <row r="6" spans="1:8" x14ac:dyDescent="0.25">
      <c r="A6" s="167" t="s">
        <v>214</v>
      </c>
      <c r="B6" s="169" t="s">
        <v>208</v>
      </c>
      <c r="C6" s="169"/>
      <c r="D6" s="169"/>
      <c r="E6" s="169"/>
      <c r="F6" s="169"/>
      <c r="G6" s="169" t="s">
        <v>209</v>
      </c>
    </row>
    <row r="7" spans="1:8" ht="30" x14ac:dyDescent="0.25">
      <c r="A7" s="168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9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customHeight="1" x14ac:dyDescent="0.25">
      <c r="A9" s="53" t="s">
        <v>216</v>
      </c>
      <c r="B9" s="202">
        <v>1137700</v>
      </c>
      <c r="C9" s="206">
        <v>88467.1</v>
      </c>
      <c r="D9" s="205">
        <v>1226167.1000000001</v>
      </c>
      <c r="E9" s="206">
        <v>1185785.82</v>
      </c>
      <c r="F9" s="206">
        <v>1185785.82</v>
      </c>
      <c r="G9" s="60">
        <f>F9-B9</f>
        <v>48085.820000000065</v>
      </c>
      <c r="H9" s="8"/>
    </row>
    <row r="10" spans="1:8" ht="14.25" customHeight="1" x14ac:dyDescent="0.25">
      <c r="A10" s="53" t="s">
        <v>217</v>
      </c>
      <c r="B10" s="202">
        <v>0</v>
      </c>
      <c r="C10" s="204">
        <v>0</v>
      </c>
      <c r="D10" s="203">
        <v>0</v>
      </c>
      <c r="E10" s="204">
        <v>0</v>
      </c>
      <c r="F10" s="204">
        <v>0</v>
      </c>
      <c r="G10" s="60">
        <f t="shared" ref="G10:G15" si="0">F10-B10</f>
        <v>0</v>
      </c>
    </row>
    <row r="11" spans="1:8" ht="14.25" customHeight="1" x14ac:dyDescent="0.25">
      <c r="A11" s="53" t="s">
        <v>218</v>
      </c>
      <c r="B11" s="202">
        <v>1000</v>
      </c>
      <c r="C11" s="204">
        <v>1065.8499999999999</v>
      </c>
      <c r="D11" s="203">
        <v>2065.85</v>
      </c>
      <c r="E11" s="204">
        <v>1565.85</v>
      </c>
      <c r="F11" s="204">
        <v>1565.85</v>
      </c>
      <c r="G11" s="60">
        <f t="shared" si="0"/>
        <v>565.84999999999991</v>
      </c>
    </row>
    <row r="12" spans="1:8" ht="14.25" customHeight="1" x14ac:dyDescent="0.25">
      <c r="A12" s="53" t="s">
        <v>219</v>
      </c>
      <c r="B12" s="202">
        <v>2125900</v>
      </c>
      <c r="C12" s="204">
        <v>84298</v>
      </c>
      <c r="D12" s="203">
        <v>2210198</v>
      </c>
      <c r="E12" s="204">
        <v>1949252.17</v>
      </c>
      <c r="F12" s="204">
        <v>1949252.17</v>
      </c>
      <c r="G12" s="60">
        <f t="shared" si="0"/>
        <v>-176647.83000000007</v>
      </c>
    </row>
    <row r="13" spans="1:8" ht="14.25" customHeight="1" x14ac:dyDescent="0.25">
      <c r="A13" s="53" t="s">
        <v>220</v>
      </c>
      <c r="B13" s="202">
        <v>189800</v>
      </c>
      <c r="C13" s="204">
        <v>-4546.67</v>
      </c>
      <c r="D13" s="203">
        <v>185253.33</v>
      </c>
      <c r="E13" s="204">
        <v>138321.68</v>
      </c>
      <c r="F13" s="204">
        <v>138321.68</v>
      </c>
      <c r="G13" s="60">
        <f t="shared" si="0"/>
        <v>-51478.320000000007</v>
      </c>
    </row>
    <row r="14" spans="1:8" ht="14.25" customHeight="1" x14ac:dyDescent="0.25">
      <c r="A14" s="53" t="s">
        <v>221</v>
      </c>
      <c r="B14" s="202">
        <v>218600</v>
      </c>
      <c r="C14" s="204">
        <v>1513039.53</v>
      </c>
      <c r="D14" s="203">
        <v>1731639.53</v>
      </c>
      <c r="E14" s="204">
        <v>724402.6</v>
      </c>
      <c r="F14" s="204">
        <v>724402.6</v>
      </c>
      <c r="G14" s="60">
        <f t="shared" si="0"/>
        <v>505802.6</v>
      </c>
    </row>
    <row r="15" spans="1:8" ht="14.25" customHeight="1" x14ac:dyDescent="0.25">
      <c r="A15" s="53" t="s">
        <v>222</v>
      </c>
      <c r="B15" s="202">
        <v>0</v>
      </c>
      <c r="C15" s="204">
        <v>0</v>
      </c>
      <c r="D15" s="203">
        <v>0</v>
      </c>
      <c r="E15" s="204">
        <v>0</v>
      </c>
      <c r="F15" s="204">
        <v>0</v>
      </c>
      <c r="G15" s="60">
        <f t="shared" si="0"/>
        <v>0</v>
      </c>
    </row>
    <row r="16" spans="1:8" x14ac:dyDescent="0.25">
      <c r="A16" s="10" t="s">
        <v>275</v>
      </c>
      <c r="B16" s="60">
        <f>SUM(B17:B27)</f>
        <v>51450000</v>
      </c>
      <c r="C16" s="60">
        <f t="shared" ref="C16:F16" si="1">SUM(C17:C27)</f>
        <v>-2217</v>
      </c>
      <c r="D16" s="60">
        <f t="shared" si="1"/>
        <v>51447783</v>
      </c>
      <c r="E16" s="60">
        <f t="shared" si="1"/>
        <v>53020123.969999991</v>
      </c>
      <c r="F16" s="60">
        <f t="shared" si="1"/>
        <v>53020123.969999991</v>
      </c>
      <c r="G16" s="60">
        <f>SUM(G17:G27)</f>
        <v>1570123.969999999</v>
      </c>
    </row>
    <row r="17" spans="1:7" x14ac:dyDescent="0.25">
      <c r="A17" s="63" t="s">
        <v>223</v>
      </c>
      <c r="B17" s="208">
        <v>21000000</v>
      </c>
      <c r="C17" s="208">
        <v>673230</v>
      </c>
      <c r="D17" s="207">
        <v>21673230</v>
      </c>
      <c r="E17" s="208">
        <v>21673294.329999998</v>
      </c>
      <c r="F17" s="208">
        <v>21673294.329999998</v>
      </c>
      <c r="G17" s="60">
        <f>F17-B17</f>
        <v>673294.32999999821</v>
      </c>
    </row>
    <row r="18" spans="1:7" ht="14.25" customHeight="1" x14ac:dyDescent="0.25">
      <c r="A18" s="63" t="s">
        <v>224</v>
      </c>
      <c r="B18" s="208">
        <v>26150000</v>
      </c>
      <c r="C18" s="208">
        <v>-546462</v>
      </c>
      <c r="D18" s="207">
        <v>25603538</v>
      </c>
      <c r="E18" s="208">
        <v>26098266.050000001</v>
      </c>
      <c r="F18" s="208">
        <v>26098266.050000001</v>
      </c>
      <c r="G18" s="60">
        <f t="shared" ref="G18:G27" si="2">F18-B18</f>
        <v>-51733.949999999255</v>
      </c>
    </row>
    <row r="19" spans="1:7" x14ac:dyDescent="0.25">
      <c r="A19" s="63" t="s">
        <v>225</v>
      </c>
      <c r="B19" s="208">
        <v>400000</v>
      </c>
      <c r="C19" s="208">
        <v>-6696</v>
      </c>
      <c r="D19" s="207">
        <v>393304</v>
      </c>
      <c r="E19" s="208">
        <v>402673.23</v>
      </c>
      <c r="F19" s="208">
        <v>402673.23</v>
      </c>
      <c r="G19" s="60">
        <f t="shared" si="2"/>
        <v>2673.2299999999814</v>
      </c>
    </row>
    <row r="20" spans="1:7" x14ac:dyDescent="0.25">
      <c r="A20" s="63" t="s">
        <v>226</v>
      </c>
      <c r="B20" s="207"/>
      <c r="C20" s="207"/>
      <c r="D20" s="207">
        <v>0</v>
      </c>
      <c r="E20" s="207"/>
      <c r="F20" s="207"/>
      <c r="G20" s="60">
        <f t="shared" si="2"/>
        <v>0</v>
      </c>
    </row>
    <row r="21" spans="1:7" x14ac:dyDescent="0.25">
      <c r="A21" s="63" t="s">
        <v>227</v>
      </c>
      <c r="B21" s="207"/>
      <c r="C21" s="207"/>
      <c r="D21" s="207">
        <v>0</v>
      </c>
      <c r="E21" s="207"/>
      <c r="F21" s="207"/>
      <c r="G21" s="60">
        <f t="shared" si="2"/>
        <v>0</v>
      </c>
    </row>
    <row r="22" spans="1:7" x14ac:dyDescent="0.25">
      <c r="A22" s="63" t="s">
        <v>228</v>
      </c>
      <c r="B22" s="208">
        <v>1900000</v>
      </c>
      <c r="C22" s="208">
        <v>-364612</v>
      </c>
      <c r="D22" s="207">
        <v>1535388</v>
      </c>
      <c r="E22" s="208">
        <v>1480426.11</v>
      </c>
      <c r="F22" s="208">
        <v>1480426.11</v>
      </c>
      <c r="G22" s="60">
        <f t="shared" si="2"/>
        <v>-419573.8899999999</v>
      </c>
    </row>
    <row r="23" spans="1:7" x14ac:dyDescent="0.25">
      <c r="A23" s="63" t="s">
        <v>229</v>
      </c>
      <c r="B23" s="207"/>
      <c r="C23" s="207"/>
      <c r="D23" s="207">
        <v>0</v>
      </c>
      <c r="E23" s="207"/>
      <c r="F23" s="207"/>
      <c r="G23" s="60">
        <f t="shared" si="2"/>
        <v>0</v>
      </c>
    </row>
    <row r="24" spans="1:7" x14ac:dyDescent="0.25">
      <c r="A24" s="63" t="s">
        <v>230</v>
      </c>
      <c r="B24" s="207"/>
      <c r="C24" s="207"/>
      <c r="D24" s="207">
        <v>0</v>
      </c>
      <c r="E24" s="207"/>
      <c r="F24" s="207"/>
      <c r="G24" s="60">
        <f t="shared" si="2"/>
        <v>0</v>
      </c>
    </row>
    <row r="25" spans="1:7" x14ac:dyDescent="0.25">
      <c r="A25" s="63" t="s">
        <v>231</v>
      </c>
      <c r="B25" s="208">
        <v>500000</v>
      </c>
      <c r="C25" s="208">
        <v>-24325</v>
      </c>
      <c r="D25" s="207">
        <v>475675</v>
      </c>
      <c r="E25" s="208">
        <v>487146.25</v>
      </c>
      <c r="F25" s="208">
        <v>487146.25</v>
      </c>
      <c r="G25" s="60">
        <f t="shared" si="2"/>
        <v>-12853.75</v>
      </c>
    </row>
    <row r="26" spans="1:7" ht="14.25" customHeight="1" x14ac:dyDescent="0.25">
      <c r="A26" s="63" t="s">
        <v>232</v>
      </c>
      <c r="B26" s="208">
        <v>1500000</v>
      </c>
      <c r="C26" s="208">
        <v>266648</v>
      </c>
      <c r="D26" s="207">
        <v>1766648</v>
      </c>
      <c r="E26" s="208">
        <v>2878318</v>
      </c>
      <c r="F26" s="208">
        <v>2878318</v>
      </c>
      <c r="G26" s="60">
        <f t="shared" si="2"/>
        <v>1378318</v>
      </c>
    </row>
    <row r="27" spans="1:7" x14ac:dyDescent="0.25">
      <c r="A27" s="63" t="s">
        <v>233</v>
      </c>
      <c r="B27" s="208">
        <v>0</v>
      </c>
      <c r="C27" s="208">
        <v>0</v>
      </c>
      <c r="D27" s="207">
        <v>0</v>
      </c>
      <c r="E27" s="208">
        <v>0</v>
      </c>
      <c r="F27" s="208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550000</v>
      </c>
      <c r="C28" s="60">
        <f t="shared" ref="C28:G28" si="3">SUM(C29:C33)</f>
        <v>308191.24</v>
      </c>
      <c r="D28" s="60">
        <f t="shared" si="3"/>
        <v>858191.24</v>
      </c>
      <c r="E28" s="60">
        <f t="shared" si="3"/>
        <v>853123.53</v>
      </c>
      <c r="F28" s="60">
        <f t="shared" si="3"/>
        <v>853123.53</v>
      </c>
      <c r="G28" s="60">
        <f t="shared" si="3"/>
        <v>303123.52999999997</v>
      </c>
    </row>
    <row r="29" spans="1:7" x14ac:dyDescent="0.25">
      <c r="A29" s="63" t="s">
        <v>235</v>
      </c>
      <c r="B29" s="210">
        <v>2000</v>
      </c>
      <c r="C29" s="210">
        <v>3470.47</v>
      </c>
      <c r="D29" s="209">
        <v>5470.4699999999993</v>
      </c>
      <c r="E29" s="210">
        <v>3143.46</v>
      </c>
      <c r="F29" s="210">
        <v>3143.46</v>
      </c>
      <c r="G29" s="60">
        <f>F29-B29</f>
        <v>1143.46</v>
      </c>
    </row>
    <row r="30" spans="1:7" x14ac:dyDescent="0.25">
      <c r="A30" s="63" t="s">
        <v>236</v>
      </c>
      <c r="B30" s="210">
        <v>50000</v>
      </c>
      <c r="C30" s="210">
        <v>16678.47</v>
      </c>
      <c r="D30" s="209">
        <v>66678.47</v>
      </c>
      <c r="E30" s="210">
        <v>66678.47</v>
      </c>
      <c r="F30" s="210">
        <v>66678.47</v>
      </c>
      <c r="G30" s="60">
        <f>F30-B30</f>
        <v>16678.47</v>
      </c>
    </row>
    <row r="31" spans="1:7" x14ac:dyDescent="0.25">
      <c r="A31" s="63" t="s">
        <v>237</v>
      </c>
      <c r="B31" s="210">
        <v>206000</v>
      </c>
      <c r="C31" s="210">
        <v>110947.18</v>
      </c>
      <c r="D31" s="209">
        <v>316947.18</v>
      </c>
      <c r="E31" s="210">
        <v>316947.18</v>
      </c>
      <c r="F31" s="210">
        <v>316947.18</v>
      </c>
      <c r="G31" s="60">
        <f t="shared" ref="G31:G34" si="4">F31-B31</f>
        <v>110947.18</v>
      </c>
    </row>
    <row r="32" spans="1:7" x14ac:dyDescent="0.25">
      <c r="A32" s="63" t="s">
        <v>238</v>
      </c>
      <c r="B32" s="210">
        <v>1000</v>
      </c>
      <c r="C32" s="210">
        <v>-1000</v>
      </c>
      <c r="D32" s="209">
        <v>0</v>
      </c>
      <c r="E32" s="210">
        <v>0</v>
      </c>
      <c r="F32" s="210">
        <v>0</v>
      </c>
      <c r="G32" s="60">
        <f t="shared" si="4"/>
        <v>-1000</v>
      </c>
    </row>
    <row r="33" spans="1:8" x14ac:dyDescent="0.25">
      <c r="A33" s="63" t="s">
        <v>239</v>
      </c>
      <c r="B33" s="210">
        <v>291000</v>
      </c>
      <c r="C33" s="210">
        <v>178095.12</v>
      </c>
      <c r="D33" s="209">
        <v>469095.12</v>
      </c>
      <c r="E33" s="210">
        <v>466354.42</v>
      </c>
      <c r="F33" s="210">
        <v>466354.42</v>
      </c>
      <c r="G33" s="60">
        <f t="shared" si="4"/>
        <v>175354.41999999998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4"/>
        <v>0</v>
      </c>
    </row>
    <row r="35" spans="1:8" x14ac:dyDescent="0.25">
      <c r="A35" s="53" t="s">
        <v>241</v>
      </c>
      <c r="B35" s="214">
        <v>0</v>
      </c>
      <c r="C35" s="214">
        <v>22297620.859999999</v>
      </c>
      <c r="D35" s="213">
        <v>22297620.859999999</v>
      </c>
      <c r="E35" s="214">
        <v>20684644.969999999</v>
      </c>
      <c r="F35" s="214">
        <v>20684644.969999999</v>
      </c>
      <c r="G35" s="60">
        <f>G36</f>
        <v>20684644.969999999</v>
      </c>
    </row>
    <row r="36" spans="1:8" x14ac:dyDescent="0.25">
      <c r="A36" s="63" t="s">
        <v>242</v>
      </c>
      <c r="B36" s="212">
        <v>0</v>
      </c>
      <c r="C36" s="212">
        <v>22297620.859999999</v>
      </c>
      <c r="D36" s="211">
        <v>22297620.859999999</v>
      </c>
      <c r="E36" s="212">
        <v>20684644.969999999</v>
      </c>
      <c r="F36" s="212">
        <v>20684644.969999999</v>
      </c>
      <c r="G36" s="60">
        <f>F36-B36</f>
        <v>20684644.969999999</v>
      </c>
    </row>
    <row r="37" spans="1:8" x14ac:dyDescent="0.25">
      <c r="A37" s="53" t="s">
        <v>243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ref="G37" si="5">G38+G39</f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55673000</v>
      </c>
      <c r="C41" s="61">
        <f t="shared" ref="C41:E41" si="6">SUM(C9,C10,C11,C12,C13,C14,C15,C16,C28,C34,C35,C37)</f>
        <v>24285918.91</v>
      </c>
      <c r="D41" s="61">
        <f t="shared" si="6"/>
        <v>79958918.909999996</v>
      </c>
      <c r="E41" s="61">
        <f t="shared" si="6"/>
        <v>78557220.589999989</v>
      </c>
      <c r="F41" s="61">
        <f>SUM(F9,F10,F11,F12,F13,F14,F15,F16,F28,F34,F35,F37)</f>
        <v>78557220.589999989</v>
      </c>
      <c r="G41" s="61">
        <f>SUM(G9,G10,G11,G12,G13,G14,G15,G16,G28,G34,G35,G37)</f>
        <v>22884220.589999996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22884220.589999996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39000000</v>
      </c>
      <c r="C45" s="60">
        <f t="shared" ref="C45:G45" si="7">SUM(C46:C53)</f>
        <v>-606254</v>
      </c>
      <c r="D45" s="60">
        <f t="shared" si="7"/>
        <v>38393746</v>
      </c>
      <c r="E45" s="60">
        <f t="shared" si="7"/>
        <v>38393746</v>
      </c>
      <c r="F45" s="60">
        <f t="shared" si="7"/>
        <v>38393746</v>
      </c>
      <c r="G45" s="60">
        <f t="shared" si="7"/>
        <v>-606254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216">
        <v>25800000</v>
      </c>
      <c r="C48" s="216">
        <v>-414621</v>
      </c>
      <c r="D48" s="215">
        <v>25385379</v>
      </c>
      <c r="E48" s="216">
        <v>25385379</v>
      </c>
      <c r="F48" s="216">
        <v>25385379</v>
      </c>
      <c r="G48" s="60">
        <f t="shared" si="8"/>
        <v>-414621</v>
      </c>
    </row>
    <row r="49" spans="1:7" ht="30" x14ac:dyDescent="0.25">
      <c r="A49" s="69" t="s">
        <v>252</v>
      </c>
      <c r="B49" s="216">
        <v>13200000</v>
      </c>
      <c r="C49" s="216">
        <v>-191633</v>
      </c>
      <c r="D49" s="215">
        <v>13008367</v>
      </c>
      <c r="E49" s="216">
        <v>13008367</v>
      </c>
      <c r="F49" s="216">
        <v>13008367</v>
      </c>
      <c r="G49" s="60">
        <f t="shared" si="8"/>
        <v>-191633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11">SUM(G60:G61)</f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39000000</v>
      </c>
      <c r="C65" s="61">
        <f t="shared" ref="C65:G65" si="12">C45+C54+C59+C62+C63</f>
        <v>-606254</v>
      </c>
      <c r="D65" s="61">
        <f t="shared" si="12"/>
        <v>38393746</v>
      </c>
      <c r="E65" s="61">
        <f t="shared" si="12"/>
        <v>38393746</v>
      </c>
      <c r="F65" s="61">
        <f t="shared" si="12"/>
        <v>38393746</v>
      </c>
      <c r="G65" s="61">
        <f t="shared" si="12"/>
        <v>-606254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2000000</v>
      </c>
      <c r="D67" s="61">
        <f t="shared" si="13"/>
        <v>2000000</v>
      </c>
      <c r="E67" s="61">
        <f t="shared" si="13"/>
        <v>2000000</v>
      </c>
      <c r="F67" s="61">
        <f t="shared" si="13"/>
        <v>2000000</v>
      </c>
      <c r="G67" s="61">
        <f t="shared" si="13"/>
        <v>2000000</v>
      </c>
    </row>
    <row r="68" spans="1:7" x14ac:dyDescent="0.25">
      <c r="A68" s="53" t="s">
        <v>269</v>
      </c>
      <c r="B68" s="60">
        <v>0</v>
      </c>
      <c r="C68" s="218">
        <v>2000000</v>
      </c>
      <c r="D68" s="217">
        <v>2000000</v>
      </c>
      <c r="E68" s="218">
        <v>2000000</v>
      </c>
      <c r="F68" s="218">
        <v>2000000</v>
      </c>
      <c r="G68" s="60">
        <v>2000000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94673000</v>
      </c>
      <c r="C70" s="61">
        <f t="shared" ref="C70:G70" si="14">C41+C65+C67</f>
        <v>25679664.91</v>
      </c>
      <c r="D70" s="61">
        <f t="shared" si="14"/>
        <v>120352664.91</v>
      </c>
      <c r="E70" s="61">
        <f t="shared" si="14"/>
        <v>118950966.58999999</v>
      </c>
      <c r="F70" s="61">
        <f t="shared" si="14"/>
        <v>118950966.58999999</v>
      </c>
      <c r="G70" s="61">
        <f t="shared" si="14"/>
        <v>24277966.589999996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</row>
    <row r="74" spans="1:7" ht="30" x14ac:dyDescent="0.25">
      <c r="A74" s="129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1137700</v>
      </c>
      <c r="Q3" s="18">
        <f>'Formato 5'!C9</f>
        <v>88467.1</v>
      </c>
      <c r="R3" s="18">
        <f>'Formato 5'!D9</f>
        <v>1226167.1000000001</v>
      </c>
      <c r="S3" s="18">
        <f>'Formato 5'!E9</f>
        <v>1185785.82</v>
      </c>
      <c r="T3" s="18">
        <f>'Formato 5'!F9</f>
        <v>1185785.82</v>
      </c>
      <c r="U3" s="18">
        <f>'Formato 5'!G9</f>
        <v>48085.820000000065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1000</v>
      </c>
      <c r="Q5" s="18">
        <f>'Formato 5'!C11</f>
        <v>1065.8499999999999</v>
      </c>
      <c r="R5" s="18">
        <f>'Formato 5'!D11</f>
        <v>2065.85</v>
      </c>
      <c r="S5" s="18">
        <f>'Formato 5'!E11</f>
        <v>1565.85</v>
      </c>
      <c r="T5" s="18">
        <f>'Formato 5'!F11</f>
        <v>1565.85</v>
      </c>
      <c r="U5" s="18">
        <f>'Formato 5'!G11</f>
        <v>565.84999999999991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2125900</v>
      </c>
      <c r="Q6" s="18">
        <f>'Formato 5'!C12</f>
        <v>84298</v>
      </c>
      <c r="R6" s="18">
        <f>'Formato 5'!D12</f>
        <v>2210198</v>
      </c>
      <c r="S6" s="18">
        <f>'Formato 5'!E12</f>
        <v>1949252.17</v>
      </c>
      <c r="T6" s="18">
        <f>'Formato 5'!F12</f>
        <v>1949252.17</v>
      </c>
      <c r="U6" s="18">
        <f>'Formato 5'!G12</f>
        <v>-176647.83000000007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189800</v>
      </c>
      <c r="Q7" s="18">
        <f>'Formato 5'!C13</f>
        <v>-4546.67</v>
      </c>
      <c r="R7" s="18">
        <f>'Formato 5'!D13</f>
        <v>185253.33</v>
      </c>
      <c r="S7" s="18">
        <f>'Formato 5'!E13</f>
        <v>138321.68</v>
      </c>
      <c r="T7" s="18">
        <f>'Formato 5'!F13</f>
        <v>138321.68</v>
      </c>
      <c r="U7" s="18">
        <f>'Formato 5'!G13</f>
        <v>-51478.320000000007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218600</v>
      </c>
      <c r="Q8" s="18">
        <f>'Formato 5'!C14</f>
        <v>1513039.53</v>
      </c>
      <c r="R8" s="18">
        <f>'Formato 5'!D14</f>
        <v>1731639.53</v>
      </c>
      <c r="S8" s="18">
        <f>'Formato 5'!E14</f>
        <v>724402.6</v>
      </c>
      <c r="T8" s="18">
        <f>'Formato 5'!F14</f>
        <v>724402.6</v>
      </c>
      <c r="U8" s="18">
        <f>'Formato 5'!G14</f>
        <v>505802.6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51450000</v>
      </c>
      <c r="Q10" s="18">
        <f>'Formato 5'!C16</f>
        <v>-2217</v>
      </c>
      <c r="R10" s="18">
        <f>'Formato 5'!D16</f>
        <v>51447783</v>
      </c>
      <c r="S10" s="18">
        <f>'Formato 5'!E16</f>
        <v>53020123.969999991</v>
      </c>
      <c r="T10" s="18">
        <f>'Formato 5'!F16</f>
        <v>53020123.969999991</v>
      </c>
      <c r="U10" s="18">
        <f>'Formato 5'!G16</f>
        <v>1570123.969999999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21000000</v>
      </c>
      <c r="Q11" s="18">
        <f>'Formato 5'!C17</f>
        <v>673230</v>
      </c>
      <c r="R11" s="18">
        <f>'Formato 5'!D17</f>
        <v>21673230</v>
      </c>
      <c r="S11" s="18">
        <f>'Formato 5'!E17</f>
        <v>21673294.329999998</v>
      </c>
      <c r="T11" s="18">
        <f>'Formato 5'!F17</f>
        <v>21673294.329999998</v>
      </c>
      <c r="U11" s="18">
        <f>'Formato 5'!G17</f>
        <v>673294.32999999821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26150000</v>
      </c>
      <c r="Q12" s="18">
        <f>'Formato 5'!C18</f>
        <v>-546462</v>
      </c>
      <c r="R12" s="18">
        <f>'Formato 5'!D18</f>
        <v>25603538</v>
      </c>
      <c r="S12" s="18">
        <f>'Formato 5'!E18</f>
        <v>26098266.050000001</v>
      </c>
      <c r="T12" s="18">
        <f>'Formato 5'!F18</f>
        <v>26098266.050000001</v>
      </c>
      <c r="U12" s="18">
        <f>'Formato 5'!G18</f>
        <v>-51733.949999999255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400000</v>
      </c>
      <c r="Q13" s="18">
        <f>'Formato 5'!C19</f>
        <v>-6696</v>
      </c>
      <c r="R13" s="18">
        <f>'Formato 5'!D19</f>
        <v>393304</v>
      </c>
      <c r="S13" s="18">
        <f>'Formato 5'!E19</f>
        <v>402673.23</v>
      </c>
      <c r="T13" s="18">
        <f>'Formato 5'!F19</f>
        <v>402673.23</v>
      </c>
      <c r="U13" s="18">
        <f>'Formato 5'!G19</f>
        <v>2673.2299999999814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1900000</v>
      </c>
      <c r="Q16" s="18">
        <f>'Formato 5'!C22</f>
        <v>-364612</v>
      </c>
      <c r="R16" s="18">
        <f>'Formato 5'!D22</f>
        <v>1535388</v>
      </c>
      <c r="S16" s="18">
        <f>'Formato 5'!E22</f>
        <v>1480426.11</v>
      </c>
      <c r="T16" s="18">
        <f>'Formato 5'!F22</f>
        <v>1480426.11</v>
      </c>
      <c r="U16" s="18">
        <f>'Formato 5'!G22</f>
        <v>-419573.8899999999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500000</v>
      </c>
      <c r="Q19" s="18">
        <f>'Formato 5'!C25</f>
        <v>-24325</v>
      </c>
      <c r="R19" s="18">
        <f>'Formato 5'!D25</f>
        <v>475675</v>
      </c>
      <c r="S19" s="18">
        <f>'Formato 5'!E25</f>
        <v>487146.25</v>
      </c>
      <c r="T19" s="18">
        <f>'Formato 5'!F25</f>
        <v>487146.25</v>
      </c>
      <c r="U19" s="18">
        <f>'Formato 5'!G25</f>
        <v>-12853.75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1500000</v>
      </c>
      <c r="Q20" s="18">
        <f>'Formato 5'!C26</f>
        <v>266648</v>
      </c>
      <c r="R20" s="18">
        <f>'Formato 5'!D26</f>
        <v>1766648</v>
      </c>
      <c r="S20" s="18">
        <f>'Formato 5'!E26</f>
        <v>2878318</v>
      </c>
      <c r="T20" s="18">
        <f>'Formato 5'!F26</f>
        <v>2878318</v>
      </c>
      <c r="U20" s="18">
        <f>'Formato 5'!G26</f>
        <v>1378318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550000</v>
      </c>
      <c r="Q22" s="18">
        <f>'Formato 5'!C28</f>
        <v>308191.24</v>
      </c>
      <c r="R22" s="18">
        <f>'Formato 5'!D28</f>
        <v>858191.24</v>
      </c>
      <c r="S22" s="18">
        <f>'Formato 5'!E28</f>
        <v>853123.53</v>
      </c>
      <c r="T22" s="18">
        <f>'Formato 5'!F28</f>
        <v>853123.53</v>
      </c>
      <c r="U22" s="18">
        <f>'Formato 5'!G28</f>
        <v>303123.52999999997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2000</v>
      </c>
      <c r="Q23" s="18">
        <f>'Formato 5'!C29</f>
        <v>3470.47</v>
      </c>
      <c r="R23" s="18">
        <f>'Formato 5'!D29</f>
        <v>5470.4699999999993</v>
      </c>
      <c r="S23" s="18">
        <f>'Formato 5'!E29</f>
        <v>3143.46</v>
      </c>
      <c r="T23" s="18">
        <f>'Formato 5'!F29</f>
        <v>3143.46</v>
      </c>
      <c r="U23" s="18">
        <f>'Formato 5'!G29</f>
        <v>1143.46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50000</v>
      </c>
      <c r="Q24" s="18">
        <f>'Formato 5'!C30</f>
        <v>16678.47</v>
      </c>
      <c r="R24" s="18">
        <f>'Formato 5'!D30</f>
        <v>66678.47</v>
      </c>
      <c r="S24" s="18">
        <f>'Formato 5'!E30</f>
        <v>66678.47</v>
      </c>
      <c r="T24" s="18">
        <f>'Formato 5'!F30</f>
        <v>66678.47</v>
      </c>
      <c r="U24" s="18">
        <f>'Formato 5'!G30</f>
        <v>16678.47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206000</v>
      </c>
      <c r="Q25" s="18">
        <f>'Formato 5'!C31</f>
        <v>110947.18</v>
      </c>
      <c r="R25" s="18">
        <f>'Formato 5'!D31</f>
        <v>316947.18</v>
      </c>
      <c r="S25" s="18">
        <f>'Formato 5'!E31</f>
        <v>316947.18</v>
      </c>
      <c r="T25" s="18">
        <f>'Formato 5'!F31</f>
        <v>316947.18</v>
      </c>
      <c r="U25" s="18">
        <f>'Formato 5'!G31</f>
        <v>110947.18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1000</v>
      </c>
      <c r="Q26" s="18">
        <f>'Formato 5'!C32</f>
        <v>-1000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-1000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291000</v>
      </c>
      <c r="Q27" s="18">
        <f>'Formato 5'!C33</f>
        <v>178095.12</v>
      </c>
      <c r="R27" s="18">
        <f>'Formato 5'!D33</f>
        <v>469095.12</v>
      </c>
      <c r="S27" s="18">
        <f>'Formato 5'!E33</f>
        <v>466354.42</v>
      </c>
      <c r="T27" s="18">
        <f>'Formato 5'!F33</f>
        <v>466354.42</v>
      </c>
      <c r="U27" s="18">
        <f>'Formato 5'!G33</f>
        <v>175354.41999999998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22297620.859999999</v>
      </c>
      <c r="R29" s="18">
        <f>'Formato 5'!D35</f>
        <v>22297620.859999999</v>
      </c>
      <c r="S29" s="18">
        <f>'Formato 5'!E35</f>
        <v>20684644.969999999</v>
      </c>
      <c r="T29" s="18">
        <f>'Formato 5'!F35</f>
        <v>20684644.969999999</v>
      </c>
      <c r="U29" s="18">
        <f>'Formato 5'!G35</f>
        <v>20684644.969999999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22297620.859999999</v>
      </c>
      <c r="R30" s="18">
        <f>'Formato 5'!D36</f>
        <v>22297620.859999999</v>
      </c>
      <c r="S30" s="18">
        <f>'Formato 5'!E36</f>
        <v>20684644.969999999</v>
      </c>
      <c r="T30" s="18">
        <f>'Formato 5'!F36</f>
        <v>20684644.969999999</v>
      </c>
      <c r="U30" s="18">
        <f>'Formato 5'!G36</f>
        <v>20684644.969999999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55673000</v>
      </c>
      <c r="Q34">
        <f>'Formato 5'!C41</f>
        <v>24285918.91</v>
      </c>
      <c r="R34">
        <f>'Formato 5'!D41</f>
        <v>79958918.909999996</v>
      </c>
      <c r="S34">
        <f>'Formato 5'!E41</f>
        <v>78557220.589999989</v>
      </c>
      <c r="T34">
        <f>'Formato 5'!F41</f>
        <v>78557220.589999989</v>
      </c>
      <c r="U34">
        <f>'Formato 5'!G41</f>
        <v>22884220.589999996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22884220.589999996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39000000</v>
      </c>
      <c r="Q37">
        <f>'Formato 5'!C45</f>
        <v>-606254</v>
      </c>
      <c r="R37">
        <f>'Formato 5'!D45</f>
        <v>38393746</v>
      </c>
      <c r="S37">
        <f>'Formato 5'!E45</f>
        <v>38393746</v>
      </c>
      <c r="T37">
        <f>'Formato 5'!F45</f>
        <v>38393746</v>
      </c>
      <c r="U37">
        <f>'Formato 5'!G45</f>
        <v>-606254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25800000</v>
      </c>
      <c r="Q40">
        <f>'Formato 5'!C48</f>
        <v>-414621</v>
      </c>
      <c r="R40">
        <f>'Formato 5'!D48</f>
        <v>25385379</v>
      </c>
      <c r="S40">
        <f>'Formato 5'!E48</f>
        <v>25385379</v>
      </c>
      <c r="T40">
        <f>'Formato 5'!F48</f>
        <v>25385379</v>
      </c>
      <c r="U40">
        <f>'Formato 5'!G48</f>
        <v>-414621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13200000</v>
      </c>
      <c r="Q41">
        <f>'Formato 5'!C49</f>
        <v>-191633</v>
      </c>
      <c r="R41">
        <f>'Formato 5'!D49</f>
        <v>13008367</v>
      </c>
      <c r="S41">
        <f>'Formato 5'!E49</f>
        <v>13008367</v>
      </c>
      <c r="T41">
        <f>'Formato 5'!F49</f>
        <v>13008367</v>
      </c>
      <c r="U41">
        <f>'Formato 5'!G49</f>
        <v>-191633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39000000</v>
      </c>
      <c r="Q56">
        <f>'Formato 5'!C65</f>
        <v>-606254</v>
      </c>
      <c r="R56">
        <f>'Formato 5'!D65</f>
        <v>38393746</v>
      </c>
      <c r="S56">
        <f>'Formato 5'!E65</f>
        <v>38393746</v>
      </c>
      <c r="T56">
        <f>'Formato 5'!F65</f>
        <v>38393746</v>
      </c>
      <c r="U56">
        <f>'Formato 5'!G65</f>
        <v>-606254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2000000</v>
      </c>
      <c r="R57">
        <f>'Formato 5'!D67</f>
        <v>2000000</v>
      </c>
      <c r="S57">
        <f>'Formato 5'!E67</f>
        <v>2000000</v>
      </c>
      <c r="T57">
        <f>'Formato 5'!F67</f>
        <v>2000000</v>
      </c>
      <c r="U57">
        <f>'Formato 5'!G67</f>
        <v>2000000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2000000</v>
      </c>
      <c r="R58">
        <f>'Formato 5'!D68</f>
        <v>2000000</v>
      </c>
      <c r="S58">
        <f>'Formato 5'!E68</f>
        <v>2000000</v>
      </c>
      <c r="T58">
        <f>'Formato 5'!F68</f>
        <v>2000000</v>
      </c>
      <c r="U58">
        <f>'Formato 5'!G68</f>
        <v>2000000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46" zoomScale="73" zoomScaleNormal="73" zoomScalePageLayoutView="90" workbookViewId="0">
      <selection activeCell="A27" sqref="A27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1" t="s">
        <v>3285</v>
      </c>
      <c r="B1" s="170"/>
      <c r="C1" s="170"/>
      <c r="D1" s="170"/>
      <c r="E1" s="170"/>
      <c r="F1" s="170"/>
      <c r="G1" s="170"/>
    </row>
    <row r="2" spans="1:7" x14ac:dyDescent="0.25">
      <c r="A2" s="174" t="str">
        <f>ENTE_PUBLICO_A</f>
        <v>Municipio de Tierra Blanca Guanajuato, Gobierno del Estado de Guanajuato (a)</v>
      </c>
      <c r="B2" s="174"/>
      <c r="C2" s="174"/>
      <c r="D2" s="174"/>
      <c r="E2" s="174"/>
      <c r="F2" s="174"/>
      <c r="G2" s="174"/>
    </row>
    <row r="3" spans="1:7" x14ac:dyDescent="0.25">
      <c r="A3" s="175" t="s">
        <v>277</v>
      </c>
      <c r="B3" s="175"/>
      <c r="C3" s="175"/>
      <c r="D3" s="175"/>
      <c r="E3" s="175"/>
      <c r="F3" s="175"/>
      <c r="G3" s="175"/>
    </row>
    <row r="4" spans="1:7" x14ac:dyDescent="0.25">
      <c r="A4" s="175" t="s">
        <v>278</v>
      </c>
      <c r="B4" s="175"/>
      <c r="C4" s="175"/>
      <c r="D4" s="175"/>
      <c r="E4" s="175"/>
      <c r="F4" s="175"/>
      <c r="G4" s="175"/>
    </row>
    <row r="5" spans="1:7" x14ac:dyDescent="0.25">
      <c r="A5" s="176" t="str">
        <f>TRIMESTRE</f>
        <v>Del 1 de enero al 31 de diciembre de 2021 (b)</v>
      </c>
      <c r="B5" s="176"/>
      <c r="C5" s="176"/>
      <c r="D5" s="176"/>
      <c r="E5" s="176"/>
      <c r="F5" s="176"/>
      <c r="G5" s="176"/>
    </row>
    <row r="6" spans="1:7" x14ac:dyDescent="0.25">
      <c r="A6" s="168" t="s">
        <v>118</v>
      </c>
      <c r="B6" s="168"/>
      <c r="C6" s="168"/>
      <c r="D6" s="168"/>
      <c r="E6" s="168"/>
      <c r="F6" s="168"/>
      <c r="G6" s="168"/>
    </row>
    <row r="7" spans="1:7" ht="15" customHeight="1" x14ac:dyDescent="0.25">
      <c r="A7" s="172" t="s">
        <v>0</v>
      </c>
      <c r="B7" s="172" t="s">
        <v>279</v>
      </c>
      <c r="C7" s="172"/>
      <c r="D7" s="172"/>
      <c r="E7" s="172"/>
      <c r="F7" s="172"/>
      <c r="G7" s="173" t="s">
        <v>280</v>
      </c>
    </row>
    <row r="8" spans="1:7" ht="30" x14ac:dyDescent="0.25">
      <c r="A8" s="172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2"/>
    </row>
    <row r="9" spans="1:7" x14ac:dyDescent="0.25">
      <c r="A9" s="82" t="s">
        <v>285</v>
      </c>
      <c r="B9" s="79">
        <f>SUM(B10,B18,B28,B38,B48,B58,B62,B71,B75)</f>
        <v>55673000</v>
      </c>
      <c r="C9" s="79">
        <f t="shared" ref="C9:G9" si="0">SUM(C10,C18,C28,C38,C48,C58,C62,C71,C75)</f>
        <v>14609888.58</v>
      </c>
      <c r="D9" s="79">
        <f t="shared" si="0"/>
        <v>70282888.579999998</v>
      </c>
      <c r="E9" s="79">
        <f t="shared" si="0"/>
        <v>58161151.489999995</v>
      </c>
      <c r="F9" s="79">
        <f t="shared" si="0"/>
        <v>57682447.829999998</v>
      </c>
      <c r="G9" s="79">
        <f t="shared" si="0"/>
        <v>12121737.09</v>
      </c>
    </row>
    <row r="10" spans="1:7" x14ac:dyDescent="0.25">
      <c r="A10" s="83" t="s">
        <v>286</v>
      </c>
      <c r="B10" s="80">
        <f>SUM(B11:B17)</f>
        <v>28811035.859999999</v>
      </c>
      <c r="C10" s="80">
        <f t="shared" ref="C10:F10" si="1">SUM(C11:C17)</f>
        <v>791189.44000000018</v>
      </c>
      <c r="D10" s="80">
        <f t="shared" si="1"/>
        <v>29602225.300000004</v>
      </c>
      <c r="E10" s="80">
        <f t="shared" si="1"/>
        <v>26682804.289999999</v>
      </c>
      <c r="F10" s="80">
        <f t="shared" si="1"/>
        <v>26647804.289999999</v>
      </c>
      <c r="G10" s="80">
        <f>SUM(G11:G17)</f>
        <v>2919421.0099999988</v>
      </c>
    </row>
    <row r="11" spans="1:7" x14ac:dyDescent="0.25">
      <c r="A11" s="84" t="s">
        <v>287</v>
      </c>
      <c r="B11" s="221">
        <v>21418218.25</v>
      </c>
      <c r="C11" s="221">
        <v>392740.48</v>
      </c>
      <c r="D11" s="220">
        <v>21810958.73</v>
      </c>
      <c r="E11" s="221">
        <v>20462227.350000001</v>
      </c>
      <c r="F11" s="221">
        <v>20462227.350000001</v>
      </c>
      <c r="G11" s="80">
        <f>D11-E11</f>
        <v>1348731.379999999</v>
      </c>
    </row>
    <row r="12" spans="1:7" x14ac:dyDescent="0.25">
      <c r="A12" s="84" t="s">
        <v>288</v>
      </c>
      <c r="B12" s="221">
        <v>1077558.08</v>
      </c>
      <c r="C12" s="221">
        <v>202253.06</v>
      </c>
      <c r="D12" s="220">
        <v>1279811.1400000001</v>
      </c>
      <c r="E12" s="221">
        <v>959481.4</v>
      </c>
      <c r="F12" s="221">
        <v>924481.4</v>
      </c>
      <c r="G12" s="80">
        <f>D12-E12</f>
        <v>320329.74000000011</v>
      </c>
    </row>
    <row r="13" spans="1:7" ht="14.25" customHeight="1" x14ac:dyDescent="0.25">
      <c r="A13" s="84" t="s">
        <v>289</v>
      </c>
      <c r="B13" s="221">
        <v>3442622.54</v>
      </c>
      <c r="C13" s="221">
        <v>138437.87</v>
      </c>
      <c r="D13" s="220">
        <v>3581060.41</v>
      </c>
      <c r="E13" s="221">
        <v>3022805.89</v>
      </c>
      <c r="F13" s="221">
        <v>3022805.89</v>
      </c>
      <c r="G13" s="80">
        <f t="shared" ref="G13:G17" si="2">D13-E13</f>
        <v>558254.52</v>
      </c>
    </row>
    <row r="14" spans="1:7" ht="14.25" customHeight="1" x14ac:dyDescent="0.25">
      <c r="A14" s="84" t="s">
        <v>290</v>
      </c>
      <c r="B14" s="221">
        <v>215441.92000000001</v>
      </c>
      <c r="C14" s="221">
        <v>60000</v>
      </c>
      <c r="D14" s="220">
        <v>275441.92000000004</v>
      </c>
      <c r="E14" s="221">
        <v>123964.95</v>
      </c>
      <c r="F14" s="221">
        <v>123964.95</v>
      </c>
      <c r="G14" s="80">
        <f t="shared" si="2"/>
        <v>151476.97000000003</v>
      </c>
    </row>
    <row r="15" spans="1:7" x14ac:dyDescent="0.25">
      <c r="A15" s="84" t="s">
        <v>291</v>
      </c>
      <c r="B15" s="221">
        <v>2297195.0699999998</v>
      </c>
      <c r="C15" s="221">
        <v>273216.02</v>
      </c>
      <c r="D15" s="220">
        <v>2570411.09</v>
      </c>
      <c r="E15" s="221">
        <v>2114324.7000000002</v>
      </c>
      <c r="F15" s="221">
        <v>2114324.7000000002</v>
      </c>
      <c r="G15" s="80">
        <f t="shared" si="2"/>
        <v>456086.38999999966</v>
      </c>
    </row>
    <row r="16" spans="1:7" ht="14.25" customHeight="1" x14ac:dyDescent="0.25">
      <c r="A16" s="84" t="s">
        <v>292</v>
      </c>
      <c r="B16" s="221">
        <v>360000</v>
      </c>
      <c r="C16" s="221">
        <v>-275457.99</v>
      </c>
      <c r="D16" s="220">
        <v>84542.010000000009</v>
      </c>
      <c r="E16" s="221">
        <v>0</v>
      </c>
      <c r="F16" s="221">
        <v>0</v>
      </c>
      <c r="G16" s="80">
        <f t="shared" si="2"/>
        <v>84542.010000000009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25">
      <c r="A18" s="83" t="s">
        <v>294</v>
      </c>
      <c r="B18" s="80">
        <f>SUM(B19:B27)</f>
        <v>4398700</v>
      </c>
      <c r="C18" s="80">
        <f t="shared" ref="C18:F18" si="3">SUM(C19:C27)</f>
        <v>582924.21</v>
      </c>
      <c r="D18" s="80">
        <f t="shared" si="3"/>
        <v>4981624.2100000009</v>
      </c>
      <c r="E18" s="80">
        <f t="shared" si="3"/>
        <v>4871764.0299999993</v>
      </c>
      <c r="F18" s="80">
        <f t="shared" si="3"/>
        <v>4835241.43</v>
      </c>
      <c r="G18" s="80">
        <f>SUM(G19:G27)</f>
        <v>109860.18000000033</v>
      </c>
    </row>
    <row r="19" spans="1:7" x14ac:dyDescent="0.25">
      <c r="A19" s="84" t="s">
        <v>295</v>
      </c>
      <c r="B19" s="223">
        <v>622500</v>
      </c>
      <c r="C19" s="223">
        <v>169046.19</v>
      </c>
      <c r="D19" s="222">
        <v>791546.19</v>
      </c>
      <c r="E19" s="223">
        <v>440347.46</v>
      </c>
      <c r="F19" s="223">
        <v>440347.46</v>
      </c>
      <c r="G19" s="80">
        <f>D19-E19</f>
        <v>351198.72999999992</v>
      </c>
    </row>
    <row r="20" spans="1:7" x14ac:dyDescent="0.25">
      <c r="A20" s="84" t="s">
        <v>296</v>
      </c>
      <c r="B20" s="223">
        <v>279000</v>
      </c>
      <c r="C20" s="223">
        <v>131201.19</v>
      </c>
      <c r="D20" s="222">
        <v>410201.19</v>
      </c>
      <c r="E20" s="223">
        <v>339918.87</v>
      </c>
      <c r="F20" s="223">
        <v>303396.27</v>
      </c>
      <c r="G20" s="80">
        <f t="shared" ref="G20:G27" si="4">D20-E20</f>
        <v>70282.320000000007</v>
      </c>
    </row>
    <row r="21" spans="1:7" x14ac:dyDescent="0.25">
      <c r="A21" s="84" t="s">
        <v>297</v>
      </c>
      <c r="B21" s="222"/>
      <c r="C21" s="222"/>
      <c r="D21" s="222">
        <v>0</v>
      </c>
      <c r="E21" s="222"/>
      <c r="F21" s="222"/>
      <c r="G21" s="80">
        <f t="shared" si="4"/>
        <v>0</v>
      </c>
    </row>
    <row r="22" spans="1:7" x14ac:dyDescent="0.25">
      <c r="A22" s="84" t="s">
        <v>298</v>
      </c>
      <c r="B22" s="223">
        <v>465700</v>
      </c>
      <c r="C22" s="223">
        <v>518185.23</v>
      </c>
      <c r="D22" s="222">
        <v>983885.23</v>
      </c>
      <c r="E22" s="223">
        <v>714245.37</v>
      </c>
      <c r="F22" s="223">
        <v>714245.37</v>
      </c>
      <c r="G22" s="80">
        <f t="shared" si="4"/>
        <v>269639.86</v>
      </c>
    </row>
    <row r="23" spans="1:7" x14ac:dyDescent="0.25">
      <c r="A23" s="84" t="s">
        <v>299</v>
      </c>
      <c r="B23" s="223">
        <v>185000</v>
      </c>
      <c r="C23" s="223">
        <v>-3022.4</v>
      </c>
      <c r="D23" s="222">
        <v>181977.60000000001</v>
      </c>
      <c r="E23" s="223">
        <v>138356.88</v>
      </c>
      <c r="F23" s="223">
        <v>138356.88</v>
      </c>
      <c r="G23" s="80">
        <f t="shared" si="4"/>
        <v>43620.72</v>
      </c>
    </row>
    <row r="24" spans="1:7" x14ac:dyDescent="0.25">
      <c r="A24" s="84" t="s">
        <v>300</v>
      </c>
      <c r="B24" s="223">
        <v>2598500</v>
      </c>
      <c r="C24" s="223">
        <v>-299977.26</v>
      </c>
      <c r="D24" s="222">
        <v>2298522.7400000002</v>
      </c>
      <c r="E24" s="223">
        <v>3126614.76</v>
      </c>
      <c r="F24" s="223">
        <v>3126614.76</v>
      </c>
      <c r="G24" s="80">
        <f t="shared" si="4"/>
        <v>-828092.01999999955</v>
      </c>
    </row>
    <row r="25" spans="1:7" x14ac:dyDescent="0.25">
      <c r="A25" s="84" t="s">
        <v>301</v>
      </c>
      <c r="B25" s="223">
        <v>164000</v>
      </c>
      <c r="C25" s="223">
        <v>43049.15</v>
      </c>
      <c r="D25" s="222">
        <v>207049.15</v>
      </c>
      <c r="E25" s="223">
        <v>53767.97</v>
      </c>
      <c r="F25" s="223">
        <v>53767.97</v>
      </c>
      <c r="G25" s="80">
        <f t="shared" si="4"/>
        <v>153281.18</v>
      </c>
    </row>
    <row r="26" spans="1:7" x14ac:dyDescent="0.25">
      <c r="A26" s="84" t="s">
        <v>302</v>
      </c>
      <c r="B26" s="223">
        <v>0</v>
      </c>
      <c r="C26" s="223">
        <v>10000</v>
      </c>
      <c r="D26" s="222">
        <v>10000</v>
      </c>
      <c r="E26" s="223">
        <v>6400</v>
      </c>
      <c r="F26" s="223">
        <v>6400</v>
      </c>
      <c r="G26" s="80">
        <f t="shared" si="4"/>
        <v>3600</v>
      </c>
    </row>
    <row r="27" spans="1:7" x14ac:dyDescent="0.25">
      <c r="A27" s="84" t="s">
        <v>303</v>
      </c>
      <c r="B27" s="223">
        <v>84000</v>
      </c>
      <c r="C27" s="223">
        <v>14442.11</v>
      </c>
      <c r="D27" s="222">
        <v>98442.11</v>
      </c>
      <c r="E27" s="223">
        <v>52112.72</v>
      </c>
      <c r="F27" s="223">
        <v>52112.72</v>
      </c>
      <c r="G27" s="80">
        <f t="shared" si="4"/>
        <v>46329.39</v>
      </c>
    </row>
    <row r="28" spans="1:7" x14ac:dyDescent="0.25">
      <c r="A28" s="83" t="s">
        <v>304</v>
      </c>
      <c r="B28" s="80">
        <f>SUM(B29:B37)</f>
        <v>11788310.42</v>
      </c>
      <c r="C28" s="80">
        <f t="shared" ref="C28:G28" si="5">SUM(C29:C37)</f>
        <v>2369525.0700000003</v>
      </c>
      <c r="D28" s="80">
        <f t="shared" si="5"/>
        <v>14157835.489999998</v>
      </c>
      <c r="E28" s="80">
        <f t="shared" si="5"/>
        <v>10697681.42</v>
      </c>
      <c r="F28" s="80">
        <f t="shared" si="5"/>
        <v>10570406.610000001</v>
      </c>
      <c r="G28" s="80">
        <f t="shared" si="5"/>
        <v>3460154.0700000003</v>
      </c>
    </row>
    <row r="29" spans="1:7" x14ac:dyDescent="0.25">
      <c r="A29" s="84" t="s">
        <v>305</v>
      </c>
      <c r="B29" s="225">
        <v>2319300</v>
      </c>
      <c r="C29" s="225">
        <v>141226.98000000001</v>
      </c>
      <c r="D29" s="224">
        <v>2460526.98</v>
      </c>
      <c r="E29" s="225">
        <v>2132476.3199999998</v>
      </c>
      <c r="F29" s="225">
        <v>2103672.3199999998</v>
      </c>
      <c r="G29" s="80">
        <f>D29-E29</f>
        <v>328050.66000000015</v>
      </c>
    </row>
    <row r="30" spans="1:7" x14ac:dyDescent="0.25">
      <c r="A30" s="84" t="s">
        <v>306</v>
      </c>
      <c r="B30" s="225">
        <v>331000</v>
      </c>
      <c r="C30" s="225">
        <v>35347.18</v>
      </c>
      <c r="D30" s="224">
        <v>366347.18</v>
      </c>
      <c r="E30" s="225">
        <v>217375.64</v>
      </c>
      <c r="F30" s="225">
        <v>217375.64</v>
      </c>
      <c r="G30" s="80">
        <f t="shared" ref="G30:G37" si="6">D30-E30</f>
        <v>148971.53999999998</v>
      </c>
    </row>
    <row r="31" spans="1:7" x14ac:dyDescent="0.25">
      <c r="A31" s="84" t="s">
        <v>307</v>
      </c>
      <c r="B31" s="225">
        <v>107000</v>
      </c>
      <c r="C31" s="225">
        <v>42504.800000000003</v>
      </c>
      <c r="D31" s="224">
        <v>149504.79999999999</v>
      </c>
      <c r="E31" s="225">
        <v>80085</v>
      </c>
      <c r="F31" s="225">
        <v>80085</v>
      </c>
      <c r="G31" s="80">
        <f t="shared" si="6"/>
        <v>69419.799999999988</v>
      </c>
    </row>
    <row r="32" spans="1:7" x14ac:dyDescent="0.25">
      <c r="A32" s="84" t="s">
        <v>308</v>
      </c>
      <c r="B32" s="225">
        <v>327000</v>
      </c>
      <c r="C32" s="225">
        <v>911224.48</v>
      </c>
      <c r="D32" s="224">
        <v>1238224.48</v>
      </c>
      <c r="E32" s="225">
        <v>360350.6</v>
      </c>
      <c r="F32" s="225">
        <v>360350.6</v>
      </c>
      <c r="G32" s="80">
        <f t="shared" si="6"/>
        <v>877873.88</v>
      </c>
    </row>
    <row r="33" spans="1:7" x14ac:dyDescent="0.25">
      <c r="A33" s="84" t="s">
        <v>309</v>
      </c>
      <c r="B33" s="225">
        <v>1971900</v>
      </c>
      <c r="C33" s="225">
        <v>724912.08</v>
      </c>
      <c r="D33" s="224">
        <v>2696812.08</v>
      </c>
      <c r="E33" s="225">
        <v>1966357.94</v>
      </c>
      <c r="F33" s="225">
        <v>1943681.33</v>
      </c>
      <c r="G33" s="80">
        <f t="shared" si="6"/>
        <v>730454.14000000013</v>
      </c>
    </row>
    <row r="34" spans="1:7" x14ac:dyDescent="0.25">
      <c r="A34" s="84" t="s">
        <v>310</v>
      </c>
      <c r="B34" s="225">
        <v>332000</v>
      </c>
      <c r="C34" s="225">
        <v>-33401.94</v>
      </c>
      <c r="D34" s="224">
        <v>298598.06</v>
      </c>
      <c r="E34" s="225">
        <v>93106.48</v>
      </c>
      <c r="F34" s="225">
        <v>93106.48</v>
      </c>
      <c r="G34" s="80">
        <f t="shared" si="6"/>
        <v>205491.58000000002</v>
      </c>
    </row>
    <row r="35" spans="1:7" x14ac:dyDescent="0.25">
      <c r="A35" s="84" t="s">
        <v>311</v>
      </c>
      <c r="B35" s="225">
        <v>297300</v>
      </c>
      <c r="C35" s="225">
        <v>182760.14</v>
      </c>
      <c r="D35" s="224">
        <v>480060.14</v>
      </c>
      <c r="E35" s="225">
        <v>262954.15999999997</v>
      </c>
      <c r="F35" s="225">
        <v>260959.96</v>
      </c>
      <c r="G35" s="80">
        <f t="shared" si="6"/>
        <v>217105.98000000004</v>
      </c>
    </row>
    <row r="36" spans="1:7" x14ac:dyDescent="0.25">
      <c r="A36" s="84" t="s">
        <v>312</v>
      </c>
      <c r="B36" s="225">
        <v>5429000</v>
      </c>
      <c r="C36" s="225">
        <v>-1031513.66</v>
      </c>
      <c r="D36" s="224">
        <v>4397486.34</v>
      </c>
      <c r="E36" s="225">
        <v>3962776</v>
      </c>
      <c r="F36" s="225">
        <v>3888976</v>
      </c>
      <c r="G36" s="80">
        <f t="shared" si="6"/>
        <v>434710.33999999985</v>
      </c>
    </row>
    <row r="37" spans="1:7" x14ac:dyDescent="0.25">
      <c r="A37" s="84" t="s">
        <v>313</v>
      </c>
      <c r="B37" s="225">
        <v>673810.42</v>
      </c>
      <c r="C37" s="225">
        <v>1396465.01</v>
      </c>
      <c r="D37" s="224">
        <v>2070275.4300000002</v>
      </c>
      <c r="E37" s="225">
        <v>1622199.28</v>
      </c>
      <c r="F37" s="225">
        <v>1622199.28</v>
      </c>
      <c r="G37" s="80">
        <f t="shared" si="6"/>
        <v>448076.15000000014</v>
      </c>
    </row>
    <row r="38" spans="1:7" x14ac:dyDescent="0.25">
      <c r="A38" s="83" t="s">
        <v>314</v>
      </c>
      <c r="B38" s="80">
        <f>SUM(B39:B47)</f>
        <v>8020000</v>
      </c>
      <c r="C38" s="80">
        <f t="shared" ref="C38:G38" si="7">SUM(C39:C47)</f>
        <v>1966998.78</v>
      </c>
      <c r="D38" s="80">
        <f t="shared" si="7"/>
        <v>9986998.7800000012</v>
      </c>
      <c r="E38" s="80">
        <f t="shared" si="7"/>
        <v>9692602.5899999999</v>
      </c>
      <c r="F38" s="80">
        <f t="shared" si="7"/>
        <v>9689102.5899999999</v>
      </c>
      <c r="G38" s="80">
        <f t="shared" si="7"/>
        <v>294396.19000000041</v>
      </c>
    </row>
    <row r="39" spans="1:7" x14ac:dyDescent="0.25">
      <c r="A39" s="84" t="s">
        <v>315</v>
      </c>
      <c r="B39" s="226"/>
      <c r="C39" s="226"/>
      <c r="D39" s="226">
        <v>0</v>
      </c>
      <c r="E39" s="226"/>
      <c r="F39" s="226"/>
      <c r="G39" s="80">
        <f>D39-E39</f>
        <v>0</v>
      </c>
    </row>
    <row r="40" spans="1:7" x14ac:dyDescent="0.25">
      <c r="A40" s="84" t="s">
        <v>316</v>
      </c>
      <c r="B40" s="227">
        <v>5520000</v>
      </c>
      <c r="C40" s="227">
        <v>800000</v>
      </c>
      <c r="D40" s="226">
        <v>6320000</v>
      </c>
      <c r="E40" s="227">
        <v>6290000</v>
      </c>
      <c r="F40" s="227">
        <v>6290000</v>
      </c>
      <c r="G40" s="80">
        <f t="shared" ref="G40:G47" si="8">D40-E40</f>
        <v>30000</v>
      </c>
    </row>
    <row r="41" spans="1:7" x14ac:dyDescent="0.25">
      <c r="A41" s="84" t="s">
        <v>317</v>
      </c>
      <c r="B41" s="226"/>
      <c r="C41" s="226"/>
      <c r="D41" s="226">
        <v>0</v>
      </c>
      <c r="E41" s="226"/>
      <c r="F41" s="226"/>
      <c r="G41" s="80">
        <f t="shared" si="8"/>
        <v>0</v>
      </c>
    </row>
    <row r="42" spans="1:7" x14ac:dyDescent="0.25">
      <c r="A42" s="84" t="s">
        <v>318</v>
      </c>
      <c r="B42" s="227">
        <v>2500000</v>
      </c>
      <c r="C42" s="227">
        <v>1166998.78</v>
      </c>
      <c r="D42" s="226">
        <v>3666998.7800000003</v>
      </c>
      <c r="E42" s="227">
        <v>3402602.59</v>
      </c>
      <c r="F42" s="227">
        <v>3399102.59</v>
      </c>
      <c r="G42" s="80">
        <f t="shared" si="8"/>
        <v>264396.19000000041</v>
      </c>
    </row>
    <row r="43" spans="1:7" x14ac:dyDescent="0.25">
      <c r="A43" s="84" t="s">
        <v>319</v>
      </c>
      <c r="B43" s="226"/>
      <c r="C43" s="226"/>
      <c r="D43" s="226">
        <v>0</v>
      </c>
      <c r="E43" s="226"/>
      <c r="F43" s="226"/>
      <c r="G43" s="80">
        <f t="shared" si="8"/>
        <v>0</v>
      </c>
    </row>
    <row r="44" spans="1:7" x14ac:dyDescent="0.25">
      <c r="A44" s="84" t="s">
        <v>320</v>
      </c>
      <c r="B44" s="226"/>
      <c r="C44" s="226"/>
      <c r="D44" s="226">
        <v>0</v>
      </c>
      <c r="E44" s="226"/>
      <c r="F44" s="226"/>
      <c r="G44" s="80">
        <f t="shared" si="8"/>
        <v>0</v>
      </c>
    </row>
    <row r="45" spans="1:7" x14ac:dyDescent="0.25">
      <c r="A45" s="84" t="s">
        <v>321</v>
      </c>
      <c r="B45" s="226"/>
      <c r="C45" s="226"/>
      <c r="D45" s="226">
        <v>0</v>
      </c>
      <c r="E45" s="226"/>
      <c r="F45" s="226"/>
      <c r="G45" s="80">
        <f t="shared" si="8"/>
        <v>0</v>
      </c>
    </row>
    <row r="46" spans="1:7" x14ac:dyDescent="0.25">
      <c r="A46" s="84" t="s">
        <v>322</v>
      </c>
      <c r="B46" s="226"/>
      <c r="C46" s="226"/>
      <c r="D46" s="226">
        <v>0</v>
      </c>
      <c r="E46" s="226"/>
      <c r="F46" s="226"/>
      <c r="G46" s="80">
        <f t="shared" si="8"/>
        <v>0</v>
      </c>
    </row>
    <row r="47" spans="1:7" x14ac:dyDescent="0.25">
      <c r="A47" s="84" t="s">
        <v>323</v>
      </c>
      <c r="B47" s="226"/>
      <c r="C47" s="226"/>
      <c r="D47" s="226">
        <v>0</v>
      </c>
      <c r="E47" s="226"/>
      <c r="F47" s="226"/>
      <c r="G47" s="80">
        <f t="shared" si="8"/>
        <v>0</v>
      </c>
    </row>
    <row r="48" spans="1:7" x14ac:dyDescent="0.25">
      <c r="A48" s="83" t="s">
        <v>324</v>
      </c>
      <c r="B48" s="80">
        <f>SUM(B49:B57)</f>
        <v>754000</v>
      </c>
      <c r="C48" s="80">
        <f t="shared" ref="C48:G48" si="9">SUM(C49:C57)</f>
        <v>1166868.49</v>
      </c>
      <c r="D48" s="80">
        <f t="shared" si="9"/>
        <v>1920868.49</v>
      </c>
      <c r="E48" s="80">
        <f t="shared" si="9"/>
        <v>1255120.29</v>
      </c>
      <c r="F48" s="80">
        <f t="shared" si="9"/>
        <v>1255120.29</v>
      </c>
      <c r="G48" s="80">
        <f t="shared" si="9"/>
        <v>665748.19999999995</v>
      </c>
    </row>
    <row r="49" spans="1:7" x14ac:dyDescent="0.25">
      <c r="A49" s="84" t="s">
        <v>325</v>
      </c>
      <c r="B49" s="229">
        <v>592000</v>
      </c>
      <c r="C49" s="229">
        <v>56253.49</v>
      </c>
      <c r="D49" s="228">
        <v>648253.49</v>
      </c>
      <c r="E49" s="229">
        <v>114623.31</v>
      </c>
      <c r="F49" s="229">
        <v>114623.31</v>
      </c>
      <c r="G49" s="80">
        <f>D49-E49</f>
        <v>533630.17999999993</v>
      </c>
    </row>
    <row r="50" spans="1:7" x14ac:dyDescent="0.25">
      <c r="A50" s="84" t="s">
        <v>326</v>
      </c>
      <c r="B50" s="229">
        <v>44000</v>
      </c>
      <c r="C50" s="229">
        <v>-11840</v>
      </c>
      <c r="D50" s="228">
        <v>32160</v>
      </c>
      <c r="E50" s="229">
        <v>0</v>
      </c>
      <c r="F50" s="229">
        <v>0</v>
      </c>
      <c r="G50" s="80">
        <f t="shared" ref="G50:G57" si="10">D50-E50</f>
        <v>32160</v>
      </c>
    </row>
    <row r="51" spans="1:7" x14ac:dyDescent="0.25">
      <c r="A51" s="84" t="s">
        <v>327</v>
      </c>
      <c r="B51" s="229">
        <v>10000</v>
      </c>
      <c r="C51" s="229">
        <v>0</v>
      </c>
      <c r="D51" s="228">
        <v>10000</v>
      </c>
      <c r="E51" s="229">
        <v>0</v>
      </c>
      <c r="F51" s="229">
        <v>0</v>
      </c>
      <c r="G51" s="80">
        <f t="shared" si="10"/>
        <v>10000</v>
      </c>
    </row>
    <row r="52" spans="1:7" x14ac:dyDescent="0.25">
      <c r="A52" s="84" t="s">
        <v>328</v>
      </c>
      <c r="B52" s="229">
        <v>0</v>
      </c>
      <c r="C52" s="229">
        <v>1158000</v>
      </c>
      <c r="D52" s="228">
        <v>1158000</v>
      </c>
      <c r="E52" s="229">
        <v>1130598</v>
      </c>
      <c r="F52" s="229">
        <v>1130598</v>
      </c>
      <c r="G52" s="80">
        <f t="shared" si="10"/>
        <v>27402</v>
      </c>
    </row>
    <row r="53" spans="1:7" x14ac:dyDescent="0.25">
      <c r="A53" s="84" t="s">
        <v>329</v>
      </c>
      <c r="B53" s="228"/>
      <c r="C53" s="228"/>
      <c r="D53" s="228">
        <v>0</v>
      </c>
      <c r="E53" s="228"/>
      <c r="F53" s="228"/>
      <c r="G53" s="80">
        <f t="shared" si="10"/>
        <v>0</v>
      </c>
    </row>
    <row r="54" spans="1:7" x14ac:dyDescent="0.25">
      <c r="A54" s="84" t="s">
        <v>330</v>
      </c>
      <c r="B54" s="229">
        <v>101000</v>
      </c>
      <c r="C54" s="229">
        <v>-36051</v>
      </c>
      <c r="D54" s="228">
        <v>64949</v>
      </c>
      <c r="E54" s="229">
        <v>9898.98</v>
      </c>
      <c r="F54" s="229">
        <v>9898.98</v>
      </c>
      <c r="G54" s="80">
        <f t="shared" si="10"/>
        <v>55050.020000000004</v>
      </c>
    </row>
    <row r="55" spans="1:7" x14ac:dyDescent="0.25">
      <c r="A55" s="84" t="s">
        <v>331</v>
      </c>
      <c r="B55" s="228"/>
      <c r="C55" s="228"/>
      <c r="D55" s="228">
        <v>0</v>
      </c>
      <c r="E55" s="228"/>
      <c r="F55" s="228"/>
      <c r="G55" s="80">
        <f t="shared" si="10"/>
        <v>0</v>
      </c>
    </row>
    <row r="56" spans="1:7" x14ac:dyDescent="0.25">
      <c r="A56" s="84" t="s">
        <v>332</v>
      </c>
      <c r="B56" s="228"/>
      <c r="C56" s="228"/>
      <c r="D56" s="228">
        <v>0</v>
      </c>
      <c r="E56" s="228"/>
      <c r="F56" s="228"/>
      <c r="G56" s="80">
        <f t="shared" si="10"/>
        <v>0</v>
      </c>
    </row>
    <row r="57" spans="1:7" x14ac:dyDescent="0.25">
      <c r="A57" s="84" t="s">
        <v>333</v>
      </c>
      <c r="B57" s="231">
        <v>7000</v>
      </c>
      <c r="C57" s="231">
        <v>506</v>
      </c>
      <c r="D57" s="230">
        <v>7506</v>
      </c>
      <c r="E57" s="231">
        <v>0</v>
      </c>
      <c r="F57" s="231">
        <v>0</v>
      </c>
      <c r="G57" s="80">
        <f t="shared" si="10"/>
        <v>7506</v>
      </c>
    </row>
    <row r="58" spans="1:7" x14ac:dyDescent="0.25">
      <c r="A58" s="83" t="s">
        <v>334</v>
      </c>
      <c r="B58" s="80">
        <f>SUM(B59:B61)</f>
        <v>250000</v>
      </c>
      <c r="C58" s="80">
        <f t="shared" ref="C58:G58" si="11">SUM(C59:C61)</f>
        <v>5282296.3</v>
      </c>
      <c r="D58" s="80">
        <f t="shared" si="11"/>
        <v>5532296.2999999998</v>
      </c>
      <c r="E58" s="80">
        <f t="shared" si="11"/>
        <v>4928265.93</v>
      </c>
      <c r="F58" s="80">
        <f t="shared" si="11"/>
        <v>4651859.68</v>
      </c>
      <c r="G58" s="80">
        <f t="shared" si="11"/>
        <v>604030.36999999988</v>
      </c>
    </row>
    <row r="59" spans="1:7" x14ac:dyDescent="0.25">
      <c r="A59" s="84" t="s">
        <v>335</v>
      </c>
      <c r="B59" s="233">
        <v>0</v>
      </c>
      <c r="C59" s="233">
        <v>4992831.2699999996</v>
      </c>
      <c r="D59" s="232">
        <v>4992831.2699999996</v>
      </c>
      <c r="E59" s="233">
        <v>4487387.01</v>
      </c>
      <c r="F59" s="233">
        <v>4210980.76</v>
      </c>
      <c r="G59" s="80">
        <f>D59-E59</f>
        <v>505444.25999999978</v>
      </c>
    </row>
    <row r="60" spans="1:7" x14ac:dyDescent="0.25">
      <c r="A60" s="84" t="s">
        <v>336</v>
      </c>
      <c r="B60" s="232"/>
      <c r="C60" s="232"/>
      <c r="D60" s="232">
        <v>0</v>
      </c>
      <c r="E60" s="232"/>
      <c r="F60" s="232"/>
      <c r="G60" s="80">
        <f t="shared" ref="G60:G61" si="12">D60-E60</f>
        <v>0</v>
      </c>
    </row>
    <row r="61" spans="1:7" x14ac:dyDescent="0.25">
      <c r="A61" s="84" t="s">
        <v>337</v>
      </c>
      <c r="B61" s="233">
        <v>250000</v>
      </c>
      <c r="C61" s="233">
        <v>289465.03000000003</v>
      </c>
      <c r="D61" s="232">
        <v>539465.03</v>
      </c>
      <c r="E61" s="233">
        <v>440878.92</v>
      </c>
      <c r="F61" s="233">
        <v>440878.92</v>
      </c>
      <c r="G61" s="80">
        <f t="shared" si="12"/>
        <v>98586.110000000044</v>
      </c>
    </row>
    <row r="62" spans="1:7" x14ac:dyDescent="0.25">
      <c r="A62" s="83" t="s">
        <v>338</v>
      </c>
      <c r="B62" s="80">
        <f>SUM(B63:B67,B69:B70)</f>
        <v>1650953.72</v>
      </c>
      <c r="C62" s="80">
        <f t="shared" ref="C62:G62" si="13">SUM(C63:C67,C69:C70)</f>
        <v>2417173.35</v>
      </c>
      <c r="D62" s="80">
        <f t="shared" si="13"/>
        <v>4068127.0700000003</v>
      </c>
      <c r="E62" s="80">
        <f t="shared" si="13"/>
        <v>0</v>
      </c>
      <c r="F62" s="80">
        <f t="shared" si="13"/>
        <v>0</v>
      </c>
      <c r="G62" s="80">
        <f t="shared" si="13"/>
        <v>4068127.0700000003</v>
      </c>
    </row>
    <row r="63" spans="1:7" x14ac:dyDescent="0.25">
      <c r="A63" s="84" t="s">
        <v>339</v>
      </c>
      <c r="B63" s="234"/>
      <c r="C63" s="234"/>
      <c r="D63" s="234">
        <v>0</v>
      </c>
      <c r="E63" s="234"/>
      <c r="F63" s="234"/>
      <c r="G63" s="80">
        <f>D63-E63</f>
        <v>0</v>
      </c>
    </row>
    <row r="64" spans="1:7" x14ac:dyDescent="0.25">
      <c r="A64" s="84" t="s">
        <v>340</v>
      </c>
      <c r="B64" s="234"/>
      <c r="C64" s="234"/>
      <c r="D64" s="234">
        <v>0</v>
      </c>
      <c r="E64" s="234"/>
      <c r="F64" s="234"/>
      <c r="G64" s="80">
        <f t="shared" ref="G64:G70" si="14">D64-E64</f>
        <v>0</v>
      </c>
    </row>
    <row r="65" spans="1:7" x14ac:dyDescent="0.25">
      <c r="A65" s="84" t="s">
        <v>341</v>
      </c>
      <c r="B65" s="234"/>
      <c r="C65" s="234"/>
      <c r="D65" s="234">
        <v>0</v>
      </c>
      <c r="E65" s="234"/>
      <c r="F65" s="234"/>
      <c r="G65" s="80">
        <f t="shared" si="14"/>
        <v>0</v>
      </c>
    </row>
    <row r="66" spans="1:7" x14ac:dyDescent="0.25">
      <c r="A66" s="84" t="s">
        <v>342</v>
      </c>
      <c r="B66" s="234"/>
      <c r="C66" s="234"/>
      <c r="D66" s="234">
        <v>0</v>
      </c>
      <c r="E66" s="234"/>
      <c r="F66" s="234"/>
      <c r="G66" s="80">
        <f t="shared" si="14"/>
        <v>0</v>
      </c>
    </row>
    <row r="67" spans="1:7" x14ac:dyDescent="0.25">
      <c r="A67" s="84" t="s">
        <v>343</v>
      </c>
      <c r="B67" s="234"/>
      <c r="C67" s="234"/>
      <c r="D67" s="234">
        <v>0</v>
      </c>
      <c r="E67" s="234"/>
      <c r="F67" s="234"/>
      <c r="G67" s="80">
        <f t="shared" si="14"/>
        <v>0</v>
      </c>
    </row>
    <row r="68" spans="1:7" x14ac:dyDescent="0.25">
      <c r="A68" s="84" t="s">
        <v>3301</v>
      </c>
      <c r="B68" s="234"/>
      <c r="C68" s="234"/>
      <c r="D68" s="234">
        <v>0</v>
      </c>
      <c r="E68" s="234"/>
      <c r="F68" s="234"/>
      <c r="G68" s="80">
        <f t="shared" si="14"/>
        <v>0</v>
      </c>
    </row>
    <row r="69" spans="1:7" x14ac:dyDescent="0.25">
      <c r="A69" s="84" t="s">
        <v>345</v>
      </c>
      <c r="B69" s="234"/>
      <c r="C69" s="234"/>
      <c r="D69" s="234">
        <v>0</v>
      </c>
      <c r="E69" s="234"/>
      <c r="F69" s="234"/>
      <c r="G69" s="80">
        <f t="shared" si="14"/>
        <v>0</v>
      </c>
    </row>
    <row r="70" spans="1:7" x14ac:dyDescent="0.25">
      <c r="A70" s="84" t="s">
        <v>346</v>
      </c>
      <c r="B70" s="235">
        <v>1650953.72</v>
      </c>
      <c r="C70" s="235">
        <v>2417173.35</v>
      </c>
      <c r="D70" s="234">
        <v>4068127.0700000003</v>
      </c>
      <c r="E70" s="235">
        <v>0</v>
      </c>
      <c r="F70" s="235">
        <v>0</v>
      </c>
      <c r="G70" s="80">
        <f t="shared" si="14"/>
        <v>4068127.0700000003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32912.94</v>
      </c>
      <c r="D71" s="80">
        <f t="shared" si="15"/>
        <v>32912.94</v>
      </c>
      <c r="E71" s="80">
        <f t="shared" si="15"/>
        <v>32912.94</v>
      </c>
      <c r="F71" s="80">
        <f t="shared" si="15"/>
        <v>32912.94</v>
      </c>
      <c r="G71" s="80">
        <f t="shared" si="15"/>
        <v>0</v>
      </c>
    </row>
    <row r="72" spans="1:7" x14ac:dyDescent="0.25">
      <c r="A72" s="84" t="s">
        <v>348</v>
      </c>
      <c r="B72" s="236"/>
      <c r="C72" s="236"/>
      <c r="D72" s="236">
        <v>0</v>
      </c>
      <c r="E72" s="236"/>
      <c r="F72" s="236"/>
      <c r="G72" s="80">
        <f>D72-E72</f>
        <v>0</v>
      </c>
    </row>
    <row r="73" spans="1:7" x14ac:dyDescent="0.25">
      <c r="A73" s="84" t="s">
        <v>349</v>
      </c>
      <c r="B73" s="236"/>
      <c r="C73" s="236"/>
      <c r="D73" s="236">
        <v>0</v>
      </c>
      <c r="E73" s="236"/>
      <c r="F73" s="236"/>
      <c r="G73" s="80">
        <f t="shared" ref="G73:G74" si="16">D73-E73</f>
        <v>0</v>
      </c>
    </row>
    <row r="74" spans="1:7" x14ac:dyDescent="0.25">
      <c r="A74" s="84" t="s">
        <v>350</v>
      </c>
      <c r="B74" s="237">
        <v>0</v>
      </c>
      <c r="C74" s="237">
        <v>32912.94</v>
      </c>
      <c r="D74" s="236">
        <v>32912.94</v>
      </c>
      <c r="E74" s="237">
        <v>32912.94</v>
      </c>
      <c r="F74" s="237">
        <v>32912.94</v>
      </c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8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8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8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8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8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39000000</v>
      </c>
      <c r="C84" s="79">
        <f t="shared" ref="C84:G84" si="19">SUM(C85,C93,C103,C113,C123,C133,C137,C146,C150)</f>
        <v>27159167.470000003</v>
      </c>
      <c r="D84" s="79">
        <f t="shared" si="19"/>
        <v>66159167.470000006</v>
      </c>
      <c r="E84" s="79">
        <f t="shared" si="19"/>
        <v>61659927.580000006</v>
      </c>
      <c r="F84" s="79">
        <f t="shared" si="19"/>
        <v>57859207.279999994</v>
      </c>
      <c r="G84" s="79">
        <f t="shared" si="19"/>
        <v>4499239.8899999969</v>
      </c>
    </row>
    <row r="85" spans="1:7" x14ac:dyDescent="0.25">
      <c r="A85" s="83" t="s">
        <v>286</v>
      </c>
      <c r="B85" s="80">
        <f>SUM(B86:B92)</f>
        <v>7086142.8600000003</v>
      </c>
      <c r="C85" s="80">
        <f t="shared" ref="C85:G85" si="20">SUM(C86:C92)</f>
        <v>69360.5</v>
      </c>
      <c r="D85" s="80">
        <f t="shared" si="20"/>
        <v>7155503.3600000013</v>
      </c>
      <c r="E85" s="80">
        <f t="shared" si="20"/>
        <v>6117675.3700000001</v>
      </c>
      <c r="F85" s="80">
        <f t="shared" si="20"/>
        <v>6117675.3700000001</v>
      </c>
      <c r="G85" s="80">
        <f t="shared" si="20"/>
        <v>1037827.9900000006</v>
      </c>
    </row>
    <row r="86" spans="1:7" x14ac:dyDescent="0.25">
      <c r="A86" s="84" t="s">
        <v>287</v>
      </c>
      <c r="B86" s="239">
        <v>6159834.9000000004</v>
      </c>
      <c r="C86" s="239">
        <v>10240.16</v>
      </c>
      <c r="D86" s="238">
        <v>6170075.0600000005</v>
      </c>
      <c r="E86" s="239">
        <v>5285123.67</v>
      </c>
      <c r="F86" s="239">
        <v>5285123.67</v>
      </c>
      <c r="G86" s="80">
        <f>D86-E86</f>
        <v>884951.3900000006</v>
      </c>
    </row>
    <row r="87" spans="1:7" x14ac:dyDescent="0.25">
      <c r="A87" s="84" t="s">
        <v>288</v>
      </c>
      <c r="B87" s="239">
        <v>0</v>
      </c>
      <c r="C87" s="239">
        <v>74035.199999999997</v>
      </c>
      <c r="D87" s="238">
        <v>74035.199999999997</v>
      </c>
      <c r="E87" s="239">
        <v>74035.199999999997</v>
      </c>
      <c r="F87" s="239">
        <v>74035.199999999997</v>
      </c>
      <c r="G87" s="80">
        <f t="shared" ref="G87:G92" si="21">D87-E87</f>
        <v>0</v>
      </c>
    </row>
    <row r="88" spans="1:7" x14ac:dyDescent="0.25">
      <c r="A88" s="84" t="s">
        <v>289</v>
      </c>
      <c r="B88" s="239">
        <v>826307.96</v>
      </c>
      <c r="C88" s="239">
        <v>3433.9</v>
      </c>
      <c r="D88" s="238">
        <v>829741.86</v>
      </c>
      <c r="E88" s="239">
        <v>675144.34</v>
      </c>
      <c r="F88" s="239">
        <v>675144.34</v>
      </c>
      <c r="G88" s="80">
        <f t="shared" si="21"/>
        <v>154597.52000000002</v>
      </c>
    </row>
    <row r="89" spans="1:7" x14ac:dyDescent="0.25">
      <c r="A89" s="84" t="s">
        <v>290</v>
      </c>
      <c r="B89" s="238"/>
      <c r="C89" s="238"/>
      <c r="D89" s="238">
        <v>0</v>
      </c>
      <c r="E89" s="238"/>
      <c r="F89" s="238"/>
      <c r="G89" s="80">
        <f t="shared" si="21"/>
        <v>0</v>
      </c>
    </row>
    <row r="90" spans="1:7" x14ac:dyDescent="0.25">
      <c r="A90" s="84" t="s">
        <v>291</v>
      </c>
      <c r="B90" s="239">
        <v>0</v>
      </c>
      <c r="C90" s="239">
        <v>81651.240000000005</v>
      </c>
      <c r="D90" s="238">
        <v>81651.240000000005</v>
      </c>
      <c r="E90" s="239">
        <v>83372.160000000003</v>
      </c>
      <c r="F90" s="239">
        <v>83372.160000000003</v>
      </c>
      <c r="G90" s="80">
        <f t="shared" si="21"/>
        <v>-1720.9199999999983</v>
      </c>
    </row>
    <row r="91" spans="1:7" x14ac:dyDescent="0.25">
      <c r="A91" s="84" t="s">
        <v>292</v>
      </c>
      <c r="B91" s="239">
        <v>100000</v>
      </c>
      <c r="C91" s="239">
        <v>-100000</v>
      </c>
      <c r="D91" s="238">
        <v>0</v>
      </c>
      <c r="E91" s="239">
        <v>0</v>
      </c>
      <c r="F91" s="239">
        <v>0</v>
      </c>
      <c r="G91" s="80">
        <f t="shared" si="21"/>
        <v>0</v>
      </c>
    </row>
    <row r="92" spans="1:7" x14ac:dyDescent="0.25">
      <c r="A92" s="84" t="s">
        <v>293</v>
      </c>
      <c r="B92" s="238"/>
      <c r="C92" s="238"/>
      <c r="D92" s="238">
        <v>0</v>
      </c>
      <c r="E92" s="238"/>
      <c r="F92" s="238"/>
      <c r="G92" s="80">
        <f t="shared" si="21"/>
        <v>0</v>
      </c>
    </row>
    <row r="93" spans="1:7" x14ac:dyDescent="0.25">
      <c r="A93" s="83" t="s">
        <v>294</v>
      </c>
      <c r="B93" s="80">
        <f>SUM(B94:B102)</f>
        <v>1360000</v>
      </c>
      <c r="C93" s="80">
        <f t="shared" ref="C93:G93" si="22">SUM(C94:C102)</f>
        <v>-2432.5499999999997</v>
      </c>
      <c r="D93" s="80">
        <f t="shared" si="22"/>
        <v>1357567.4500000002</v>
      </c>
      <c r="E93" s="80">
        <f t="shared" si="22"/>
        <v>1229254.8400000001</v>
      </c>
      <c r="F93" s="80">
        <f t="shared" si="22"/>
        <v>1229254.8400000001</v>
      </c>
      <c r="G93" s="80">
        <f t="shared" si="22"/>
        <v>128312.61000000012</v>
      </c>
    </row>
    <row r="94" spans="1:7" x14ac:dyDescent="0.25">
      <c r="A94" s="84" t="s">
        <v>295</v>
      </c>
      <c r="B94" s="241">
        <v>0</v>
      </c>
      <c r="C94" s="241">
        <v>209.59</v>
      </c>
      <c r="D94" s="240">
        <v>209.59</v>
      </c>
      <c r="E94" s="241">
        <v>209.59</v>
      </c>
      <c r="F94" s="241">
        <v>209.59</v>
      </c>
      <c r="G94" s="80">
        <f>D94-E94</f>
        <v>0</v>
      </c>
    </row>
    <row r="95" spans="1:7" x14ac:dyDescent="0.25">
      <c r="A95" s="84" t="s">
        <v>296</v>
      </c>
      <c r="B95" s="240"/>
      <c r="C95" s="240"/>
      <c r="D95" s="240">
        <v>0</v>
      </c>
      <c r="E95" s="240"/>
      <c r="F95" s="240"/>
      <c r="G95" s="80">
        <f t="shared" ref="G95:G102" si="23">D95-E95</f>
        <v>0</v>
      </c>
    </row>
    <row r="96" spans="1:7" x14ac:dyDescent="0.25">
      <c r="A96" s="84" t="s">
        <v>297</v>
      </c>
      <c r="B96" s="240"/>
      <c r="C96" s="240"/>
      <c r="D96" s="240">
        <v>0</v>
      </c>
      <c r="E96" s="240"/>
      <c r="F96" s="240"/>
      <c r="G96" s="80">
        <f t="shared" si="23"/>
        <v>0</v>
      </c>
    </row>
    <row r="97" spans="1:7" x14ac:dyDescent="0.25">
      <c r="A97" s="84" t="s">
        <v>298</v>
      </c>
      <c r="B97" s="241">
        <v>200000</v>
      </c>
      <c r="C97" s="241">
        <v>0</v>
      </c>
      <c r="D97" s="240">
        <v>200000</v>
      </c>
      <c r="E97" s="241">
        <v>71688.02</v>
      </c>
      <c r="F97" s="241">
        <v>71688.02</v>
      </c>
      <c r="G97" s="80">
        <f t="shared" si="23"/>
        <v>128311.98</v>
      </c>
    </row>
    <row r="98" spans="1:7" x14ac:dyDescent="0.25">
      <c r="A98" s="42" t="s">
        <v>299</v>
      </c>
      <c r="B98" s="240"/>
      <c r="C98" s="240"/>
      <c r="D98" s="240">
        <v>0</v>
      </c>
      <c r="E98" s="240"/>
      <c r="F98" s="240"/>
      <c r="G98" s="80">
        <f t="shared" si="23"/>
        <v>0</v>
      </c>
    </row>
    <row r="99" spans="1:7" x14ac:dyDescent="0.25">
      <c r="A99" s="84" t="s">
        <v>300</v>
      </c>
      <c r="B99" s="241">
        <v>1160000</v>
      </c>
      <c r="C99" s="241">
        <v>-2642.14</v>
      </c>
      <c r="D99" s="240">
        <v>1157357.8600000001</v>
      </c>
      <c r="E99" s="241">
        <v>1157357.23</v>
      </c>
      <c r="F99" s="241">
        <v>1157357.23</v>
      </c>
      <c r="G99" s="80">
        <f t="shared" si="23"/>
        <v>0.63000000012107193</v>
      </c>
    </row>
    <row r="100" spans="1:7" x14ac:dyDescent="0.25">
      <c r="A100" s="84" t="s">
        <v>301</v>
      </c>
      <c r="B100" s="240"/>
      <c r="C100" s="240"/>
      <c r="D100" s="240">
        <v>0</v>
      </c>
      <c r="E100" s="240"/>
      <c r="F100" s="240"/>
      <c r="G100" s="80">
        <f t="shared" si="23"/>
        <v>0</v>
      </c>
    </row>
    <row r="101" spans="1:7" x14ac:dyDescent="0.25">
      <c r="A101" s="84" t="s">
        <v>302</v>
      </c>
      <c r="B101" s="240"/>
      <c r="C101" s="240"/>
      <c r="D101" s="240">
        <v>0</v>
      </c>
      <c r="E101" s="240"/>
      <c r="F101" s="240"/>
      <c r="G101" s="80">
        <f t="shared" si="23"/>
        <v>0</v>
      </c>
    </row>
    <row r="102" spans="1:7" x14ac:dyDescent="0.25">
      <c r="A102" s="84" t="s">
        <v>303</v>
      </c>
      <c r="B102" s="240"/>
      <c r="C102" s="240"/>
      <c r="D102" s="240">
        <v>0</v>
      </c>
      <c r="E102" s="240"/>
      <c r="F102" s="24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570000</v>
      </c>
      <c r="C103" s="80">
        <f>SUM(C104:C112)</f>
        <v>-9311</v>
      </c>
      <c r="D103" s="80">
        <f t="shared" ref="D103:G103" si="24">SUM(D104:D112)</f>
        <v>560689</v>
      </c>
      <c r="E103" s="80">
        <f t="shared" si="24"/>
        <v>189186.48</v>
      </c>
      <c r="F103" s="80">
        <f t="shared" si="24"/>
        <v>189186.48</v>
      </c>
      <c r="G103" s="80">
        <f t="shared" si="24"/>
        <v>371502.52</v>
      </c>
    </row>
    <row r="104" spans="1:7" x14ac:dyDescent="0.25">
      <c r="A104" s="84" t="s">
        <v>305</v>
      </c>
      <c r="B104" s="242"/>
      <c r="C104" s="242"/>
      <c r="D104" s="242">
        <v>0</v>
      </c>
      <c r="E104" s="242"/>
      <c r="F104" s="242"/>
      <c r="G104" s="80">
        <f>D104-E104</f>
        <v>0</v>
      </c>
    </row>
    <row r="105" spans="1:7" x14ac:dyDescent="0.25">
      <c r="A105" s="84" t="s">
        <v>306</v>
      </c>
      <c r="B105" s="242"/>
      <c r="C105" s="242"/>
      <c r="D105" s="242">
        <v>0</v>
      </c>
      <c r="E105" s="242"/>
      <c r="F105" s="242"/>
      <c r="G105" s="80">
        <f t="shared" ref="G105:G112" si="25">D105-E105</f>
        <v>0</v>
      </c>
    </row>
    <row r="106" spans="1:7" x14ac:dyDescent="0.25">
      <c r="A106" s="84" t="s">
        <v>307</v>
      </c>
      <c r="B106" s="242"/>
      <c r="C106" s="242"/>
      <c r="D106" s="242">
        <v>0</v>
      </c>
      <c r="E106" s="242"/>
      <c r="F106" s="242"/>
      <c r="G106" s="80">
        <f t="shared" si="25"/>
        <v>0</v>
      </c>
    </row>
    <row r="107" spans="1:7" x14ac:dyDescent="0.25">
      <c r="A107" s="84" t="s">
        <v>308</v>
      </c>
      <c r="B107" s="242"/>
      <c r="C107" s="242"/>
      <c r="D107" s="242">
        <v>0</v>
      </c>
      <c r="E107" s="242"/>
      <c r="F107" s="242"/>
      <c r="G107" s="80">
        <f t="shared" si="25"/>
        <v>0</v>
      </c>
    </row>
    <row r="108" spans="1:7" x14ac:dyDescent="0.25">
      <c r="A108" s="84" t="s">
        <v>309</v>
      </c>
      <c r="B108" s="243">
        <v>570000</v>
      </c>
      <c r="C108" s="243">
        <v>-9311</v>
      </c>
      <c r="D108" s="242">
        <v>560689</v>
      </c>
      <c r="E108" s="243">
        <v>189186.48</v>
      </c>
      <c r="F108" s="243">
        <v>189186.48</v>
      </c>
      <c r="G108" s="80">
        <f t="shared" si="25"/>
        <v>371502.52</v>
      </c>
    </row>
    <row r="109" spans="1:7" x14ac:dyDescent="0.25">
      <c r="A109" s="84" t="s">
        <v>310</v>
      </c>
      <c r="B109" s="242"/>
      <c r="C109" s="242"/>
      <c r="D109" s="242">
        <v>0</v>
      </c>
      <c r="E109" s="242"/>
      <c r="F109" s="242"/>
      <c r="G109" s="80">
        <f t="shared" si="25"/>
        <v>0</v>
      </c>
    </row>
    <row r="110" spans="1:7" x14ac:dyDescent="0.25">
      <c r="A110" s="84" t="s">
        <v>311</v>
      </c>
      <c r="B110" s="242"/>
      <c r="C110" s="242"/>
      <c r="D110" s="242">
        <v>0</v>
      </c>
      <c r="E110" s="242"/>
      <c r="F110" s="242"/>
      <c r="G110" s="80">
        <f t="shared" si="25"/>
        <v>0</v>
      </c>
    </row>
    <row r="111" spans="1:7" x14ac:dyDescent="0.25">
      <c r="A111" s="84" t="s">
        <v>312</v>
      </c>
      <c r="B111" s="243">
        <v>0</v>
      </c>
      <c r="C111" s="243">
        <v>0</v>
      </c>
      <c r="D111" s="242">
        <v>0</v>
      </c>
      <c r="E111" s="243">
        <v>0</v>
      </c>
      <c r="F111" s="243">
        <v>0</v>
      </c>
      <c r="G111" s="80">
        <f t="shared" si="25"/>
        <v>0</v>
      </c>
    </row>
    <row r="112" spans="1:7" x14ac:dyDescent="0.25">
      <c r="A112" s="84" t="s">
        <v>313</v>
      </c>
      <c r="B112" s="242"/>
      <c r="C112" s="242"/>
      <c r="D112" s="242">
        <v>0</v>
      </c>
      <c r="E112" s="242"/>
      <c r="F112" s="242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4000000</v>
      </c>
      <c r="C113" s="80">
        <f t="shared" ref="C113:G113" si="26">SUM(C114:C122)</f>
        <v>14022892.039999999</v>
      </c>
      <c r="D113" s="80">
        <f t="shared" si="26"/>
        <v>18022892.039999999</v>
      </c>
      <c r="E113" s="80">
        <f t="shared" si="26"/>
        <v>16199992.66</v>
      </c>
      <c r="F113" s="80">
        <f t="shared" si="26"/>
        <v>14636969.720000001</v>
      </c>
      <c r="G113" s="80">
        <f t="shared" si="26"/>
        <v>1822899.379999999</v>
      </c>
    </row>
    <row r="114" spans="1:7" x14ac:dyDescent="0.25">
      <c r="A114" s="84" t="s">
        <v>315</v>
      </c>
      <c r="B114" s="244"/>
      <c r="C114" s="244"/>
      <c r="D114" s="244">
        <v>0</v>
      </c>
      <c r="E114" s="244"/>
      <c r="F114" s="244"/>
      <c r="G114" s="80">
        <f>D114-E114</f>
        <v>0</v>
      </c>
    </row>
    <row r="115" spans="1:7" x14ac:dyDescent="0.25">
      <c r="A115" s="84" t="s">
        <v>316</v>
      </c>
      <c r="B115" s="244"/>
      <c r="C115" s="244"/>
      <c r="D115" s="244">
        <v>0</v>
      </c>
      <c r="E115" s="244"/>
      <c r="F115" s="244"/>
      <c r="G115" s="80">
        <f t="shared" ref="G115:G122" si="27">D115-E115</f>
        <v>0</v>
      </c>
    </row>
    <row r="116" spans="1:7" x14ac:dyDescent="0.25">
      <c r="A116" s="84" t="s">
        <v>317</v>
      </c>
      <c r="B116" s="245">
        <v>4000000</v>
      </c>
      <c r="C116" s="245">
        <v>0</v>
      </c>
      <c r="D116" s="244">
        <v>4000000</v>
      </c>
      <c r="E116" s="245">
        <v>3091944.01</v>
      </c>
      <c r="F116" s="245">
        <v>3091944.01</v>
      </c>
      <c r="G116" s="80">
        <f t="shared" si="27"/>
        <v>908055.99000000022</v>
      </c>
    </row>
    <row r="117" spans="1:7" x14ac:dyDescent="0.25">
      <c r="A117" s="84" t="s">
        <v>318</v>
      </c>
      <c r="B117" s="245">
        <v>0</v>
      </c>
      <c r="C117" s="245">
        <v>14022892.039999999</v>
      </c>
      <c r="D117" s="244">
        <v>14022892.039999999</v>
      </c>
      <c r="E117" s="245">
        <v>13108048.65</v>
      </c>
      <c r="F117" s="245">
        <v>11545025.710000001</v>
      </c>
      <c r="G117" s="80">
        <f t="shared" si="27"/>
        <v>914843.38999999873</v>
      </c>
    </row>
    <row r="118" spans="1:7" x14ac:dyDescent="0.25">
      <c r="A118" s="84" t="s">
        <v>319</v>
      </c>
      <c r="B118" s="244"/>
      <c r="C118" s="244"/>
      <c r="D118" s="244">
        <v>0</v>
      </c>
      <c r="E118" s="244"/>
      <c r="F118" s="244"/>
      <c r="G118" s="80">
        <f t="shared" si="27"/>
        <v>0</v>
      </c>
    </row>
    <row r="119" spans="1:7" x14ac:dyDescent="0.25">
      <c r="A119" s="84" t="s">
        <v>320</v>
      </c>
      <c r="B119" s="244"/>
      <c r="C119" s="244"/>
      <c r="D119" s="244">
        <v>0</v>
      </c>
      <c r="E119" s="244"/>
      <c r="F119" s="244"/>
      <c r="G119" s="80">
        <f t="shared" si="27"/>
        <v>0</v>
      </c>
    </row>
    <row r="120" spans="1:7" x14ac:dyDescent="0.25">
      <c r="A120" s="84" t="s">
        <v>321</v>
      </c>
      <c r="B120" s="244"/>
      <c r="C120" s="244"/>
      <c r="D120" s="244">
        <v>0</v>
      </c>
      <c r="E120" s="244"/>
      <c r="F120" s="244"/>
      <c r="G120" s="80">
        <f t="shared" si="27"/>
        <v>0</v>
      </c>
    </row>
    <row r="121" spans="1:7" x14ac:dyDescent="0.25">
      <c r="A121" s="84" t="s">
        <v>322</v>
      </c>
      <c r="B121" s="244"/>
      <c r="C121" s="244"/>
      <c r="D121" s="244">
        <v>0</v>
      </c>
      <c r="E121" s="244"/>
      <c r="F121" s="244"/>
      <c r="G121" s="80">
        <f t="shared" si="27"/>
        <v>0</v>
      </c>
    </row>
    <row r="122" spans="1:7" x14ac:dyDescent="0.25">
      <c r="A122" s="84" t="s">
        <v>323</v>
      </c>
      <c r="B122" s="244"/>
      <c r="C122" s="244"/>
      <c r="D122" s="244">
        <v>0</v>
      </c>
      <c r="E122" s="244"/>
      <c r="F122" s="244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9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9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9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9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9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9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9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38150640.18</v>
      </c>
      <c r="D133" s="80">
        <f t="shared" si="30"/>
        <v>38150640.18</v>
      </c>
      <c r="E133" s="80">
        <f t="shared" si="30"/>
        <v>37020794.770000003</v>
      </c>
      <c r="F133" s="80">
        <f t="shared" si="30"/>
        <v>34783097.409999996</v>
      </c>
      <c r="G133" s="80">
        <f t="shared" si="30"/>
        <v>1129845.4099999964</v>
      </c>
    </row>
    <row r="134" spans="1:7" x14ac:dyDescent="0.25">
      <c r="A134" s="84" t="s">
        <v>335</v>
      </c>
      <c r="B134" s="247">
        <v>0</v>
      </c>
      <c r="C134" s="247">
        <v>38150640.18</v>
      </c>
      <c r="D134" s="246">
        <v>38150640.18</v>
      </c>
      <c r="E134" s="247">
        <v>37020794.770000003</v>
      </c>
      <c r="F134" s="247">
        <v>34783097.409999996</v>
      </c>
      <c r="G134" s="80">
        <f>D134-E134</f>
        <v>1129845.4099999964</v>
      </c>
    </row>
    <row r="135" spans="1:7" x14ac:dyDescent="0.25">
      <c r="A135" s="84" t="s">
        <v>336</v>
      </c>
      <c r="B135" s="246"/>
      <c r="C135" s="246"/>
      <c r="D135" s="246">
        <v>0</v>
      </c>
      <c r="E135" s="246"/>
      <c r="F135" s="246"/>
      <c r="G135" s="80">
        <f t="shared" ref="G135:G136" si="31">D135-E135</f>
        <v>0</v>
      </c>
    </row>
    <row r="136" spans="1:7" x14ac:dyDescent="0.25">
      <c r="A136" s="84" t="s">
        <v>337</v>
      </c>
      <c r="B136" s="246"/>
      <c r="C136" s="246"/>
      <c r="D136" s="246">
        <v>0</v>
      </c>
      <c r="E136" s="246"/>
      <c r="F136" s="246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25983857.140000001</v>
      </c>
      <c r="C137" s="80">
        <f t="shared" ref="C137:G137" si="32">SUM(C138:C142,C144:C145)</f>
        <v>-25975005.16</v>
      </c>
      <c r="D137" s="80">
        <f t="shared" si="32"/>
        <v>8851.980000000447</v>
      </c>
      <c r="E137" s="80">
        <f t="shared" si="32"/>
        <v>0</v>
      </c>
      <c r="F137" s="80">
        <f t="shared" si="32"/>
        <v>0</v>
      </c>
      <c r="G137" s="80">
        <f t="shared" si="32"/>
        <v>8851.980000000447</v>
      </c>
    </row>
    <row r="138" spans="1:7" x14ac:dyDescent="0.25">
      <c r="A138" s="84" t="s">
        <v>339</v>
      </c>
      <c r="B138" s="248"/>
      <c r="C138" s="248"/>
      <c r="D138" s="248">
        <v>0</v>
      </c>
      <c r="E138" s="248"/>
      <c r="F138" s="248"/>
      <c r="G138" s="80">
        <f>D138-E138</f>
        <v>0</v>
      </c>
    </row>
    <row r="139" spans="1:7" x14ac:dyDescent="0.25">
      <c r="A139" s="84" t="s">
        <v>340</v>
      </c>
      <c r="B139" s="248"/>
      <c r="C139" s="248"/>
      <c r="D139" s="248">
        <v>0</v>
      </c>
      <c r="E139" s="248"/>
      <c r="F139" s="248"/>
      <c r="G139" s="80">
        <f t="shared" ref="G139:G145" si="33">D139-E139</f>
        <v>0</v>
      </c>
    </row>
    <row r="140" spans="1:7" x14ac:dyDescent="0.25">
      <c r="A140" s="84" t="s">
        <v>341</v>
      </c>
      <c r="B140" s="248"/>
      <c r="C140" s="248"/>
      <c r="D140" s="248">
        <v>0</v>
      </c>
      <c r="E140" s="248"/>
      <c r="F140" s="248"/>
      <c r="G140" s="80">
        <f t="shared" si="33"/>
        <v>0</v>
      </c>
    </row>
    <row r="141" spans="1:7" x14ac:dyDescent="0.25">
      <c r="A141" s="84" t="s">
        <v>342</v>
      </c>
      <c r="B141" s="248"/>
      <c r="C141" s="248"/>
      <c r="D141" s="248">
        <v>0</v>
      </c>
      <c r="E141" s="248"/>
      <c r="F141" s="248"/>
      <c r="G141" s="80">
        <f t="shared" si="33"/>
        <v>0</v>
      </c>
    </row>
    <row r="142" spans="1:7" x14ac:dyDescent="0.25">
      <c r="A142" s="84" t="s">
        <v>343</v>
      </c>
      <c r="B142" s="248"/>
      <c r="C142" s="248"/>
      <c r="D142" s="248">
        <v>0</v>
      </c>
      <c r="E142" s="248"/>
      <c r="F142" s="248"/>
      <c r="G142" s="80">
        <f t="shared" si="33"/>
        <v>0</v>
      </c>
    </row>
    <row r="143" spans="1:7" x14ac:dyDescent="0.25">
      <c r="A143" s="84" t="s">
        <v>3301</v>
      </c>
      <c r="B143" s="248"/>
      <c r="C143" s="248"/>
      <c r="D143" s="248">
        <v>0</v>
      </c>
      <c r="E143" s="248"/>
      <c r="F143" s="248"/>
      <c r="G143" s="80">
        <f t="shared" si="33"/>
        <v>0</v>
      </c>
    </row>
    <row r="144" spans="1:7" x14ac:dyDescent="0.25">
      <c r="A144" s="84" t="s">
        <v>345</v>
      </c>
      <c r="B144" s="248"/>
      <c r="C144" s="248"/>
      <c r="D144" s="248">
        <v>0</v>
      </c>
      <c r="E144" s="248"/>
      <c r="F144" s="248"/>
      <c r="G144" s="80">
        <f t="shared" si="33"/>
        <v>0</v>
      </c>
    </row>
    <row r="145" spans="1:7" x14ac:dyDescent="0.25">
      <c r="A145" s="84" t="s">
        <v>346</v>
      </c>
      <c r="B145" s="249">
        <v>25983857.140000001</v>
      </c>
      <c r="C145" s="249">
        <v>-25975005.16</v>
      </c>
      <c r="D145" s="248">
        <v>8851.980000000447</v>
      </c>
      <c r="E145" s="249">
        <v>0</v>
      </c>
      <c r="F145" s="249">
        <v>0</v>
      </c>
      <c r="G145" s="80">
        <f t="shared" si="33"/>
        <v>8851.980000000447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903023.46</v>
      </c>
      <c r="D146" s="80">
        <f t="shared" si="34"/>
        <v>903023.46</v>
      </c>
      <c r="E146" s="80">
        <f t="shared" si="34"/>
        <v>903023.46</v>
      </c>
      <c r="F146" s="80">
        <f t="shared" si="34"/>
        <v>903023.46</v>
      </c>
      <c r="G146" s="80">
        <f t="shared" si="34"/>
        <v>0</v>
      </c>
    </row>
    <row r="147" spans="1:7" x14ac:dyDescent="0.25">
      <c r="A147" s="84" t="s">
        <v>348</v>
      </c>
      <c r="B147" s="250"/>
      <c r="C147" s="250"/>
      <c r="D147" s="250">
        <v>0</v>
      </c>
      <c r="E147" s="250"/>
      <c r="F147" s="250"/>
      <c r="G147" s="80">
        <f>D147-E147</f>
        <v>0</v>
      </c>
    </row>
    <row r="148" spans="1:7" x14ac:dyDescent="0.25">
      <c r="A148" s="84" t="s">
        <v>349</v>
      </c>
      <c r="B148" s="250"/>
      <c r="C148" s="250"/>
      <c r="D148" s="250">
        <v>0</v>
      </c>
      <c r="E148" s="250"/>
      <c r="F148" s="250"/>
      <c r="G148" s="80">
        <f t="shared" ref="G148:G149" si="35">D148-E148</f>
        <v>0</v>
      </c>
    </row>
    <row r="149" spans="1:7" x14ac:dyDescent="0.25">
      <c r="A149" s="84" t="s">
        <v>350</v>
      </c>
      <c r="B149" s="251">
        <v>0</v>
      </c>
      <c r="C149" s="251">
        <v>903023.46</v>
      </c>
      <c r="D149" s="250">
        <v>903023.46</v>
      </c>
      <c r="E149" s="251">
        <v>903023.46</v>
      </c>
      <c r="F149" s="251">
        <v>903023.46</v>
      </c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7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7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7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7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7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94673000</v>
      </c>
      <c r="C159" s="79">
        <f t="shared" ref="C159:G159" si="38">C9+C84</f>
        <v>41769056.050000004</v>
      </c>
      <c r="D159" s="79">
        <f t="shared" si="38"/>
        <v>136442056.05000001</v>
      </c>
      <c r="E159" s="79">
        <f t="shared" si="38"/>
        <v>119821079.06999999</v>
      </c>
      <c r="F159" s="79">
        <f t="shared" si="38"/>
        <v>115541655.10999998</v>
      </c>
      <c r="G159" s="79">
        <f t="shared" si="38"/>
        <v>16620976.979999997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55673000</v>
      </c>
      <c r="Q2" s="18">
        <f>'Formato 6 a)'!C9</f>
        <v>14609888.58</v>
      </c>
      <c r="R2" s="18">
        <f>'Formato 6 a)'!D9</f>
        <v>70282888.579999998</v>
      </c>
      <c r="S2" s="18">
        <f>'Formato 6 a)'!E9</f>
        <v>58161151.489999995</v>
      </c>
      <c r="T2" s="18">
        <f>'Formato 6 a)'!F9</f>
        <v>57682447.829999998</v>
      </c>
      <c r="U2" s="18">
        <f>'Formato 6 a)'!G9</f>
        <v>12121737.09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28811035.859999999</v>
      </c>
      <c r="Q3" s="18">
        <f>'Formato 6 a)'!C10</f>
        <v>791189.44000000018</v>
      </c>
      <c r="R3" s="18">
        <f>'Formato 6 a)'!D10</f>
        <v>29602225.300000004</v>
      </c>
      <c r="S3" s="18">
        <f>'Formato 6 a)'!E10</f>
        <v>26682804.289999999</v>
      </c>
      <c r="T3" s="18">
        <f>'Formato 6 a)'!F10</f>
        <v>26647804.289999999</v>
      </c>
      <c r="U3" s="18">
        <f>'Formato 6 a)'!G10</f>
        <v>2919421.0099999988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21418218.25</v>
      </c>
      <c r="Q4" s="18">
        <f>'Formato 6 a)'!C11</f>
        <v>392740.48</v>
      </c>
      <c r="R4" s="18">
        <f>'Formato 6 a)'!D11</f>
        <v>21810958.73</v>
      </c>
      <c r="S4" s="18">
        <f>'Formato 6 a)'!E11</f>
        <v>20462227.350000001</v>
      </c>
      <c r="T4" s="18">
        <f>'Formato 6 a)'!F11</f>
        <v>20462227.350000001</v>
      </c>
      <c r="U4" s="18">
        <f>'Formato 6 a)'!G11</f>
        <v>1348731.379999999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1077558.08</v>
      </c>
      <c r="Q5" s="18">
        <f>'Formato 6 a)'!C12</f>
        <v>202253.06</v>
      </c>
      <c r="R5" s="18">
        <f>'Formato 6 a)'!D12</f>
        <v>1279811.1400000001</v>
      </c>
      <c r="S5" s="18">
        <f>'Formato 6 a)'!E12</f>
        <v>959481.4</v>
      </c>
      <c r="T5" s="18">
        <f>'Formato 6 a)'!F12</f>
        <v>924481.4</v>
      </c>
      <c r="U5" s="18">
        <f>'Formato 6 a)'!G12</f>
        <v>320329.74000000011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3442622.54</v>
      </c>
      <c r="Q6" s="18">
        <f>'Formato 6 a)'!C13</f>
        <v>138437.87</v>
      </c>
      <c r="R6" s="18">
        <f>'Formato 6 a)'!D13</f>
        <v>3581060.41</v>
      </c>
      <c r="S6" s="18">
        <f>'Formato 6 a)'!E13</f>
        <v>3022805.89</v>
      </c>
      <c r="T6" s="18">
        <f>'Formato 6 a)'!F13</f>
        <v>3022805.89</v>
      </c>
      <c r="U6" s="18">
        <f>'Formato 6 a)'!G13</f>
        <v>558254.52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215441.92000000001</v>
      </c>
      <c r="Q7" s="18">
        <f>'Formato 6 a)'!C14</f>
        <v>60000</v>
      </c>
      <c r="R7" s="18">
        <f>'Formato 6 a)'!D14</f>
        <v>275441.92000000004</v>
      </c>
      <c r="S7" s="18">
        <f>'Formato 6 a)'!E14</f>
        <v>123964.95</v>
      </c>
      <c r="T7" s="18">
        <f>'Formato 6 a)'!F14</f>
        <v>123964.95</v>
      </c>
      <c r="U7" s="18">
        <f>'Formato 6 a)'!G14</f>
        <v>151476.97000000003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2297195.0699999998</v>
      </c>
      <c r="Q8" s="18">
        <f>'Formato 6 a)'!C15</f>
        <v>273216.02</v>
      </c>
      <c r="R8" s="18">
        <f>'Formato 6 a)'!D15</f>
        <v>2570411.09</v>
      </c>
      <c r="S8" s="18">
        <f>'Formato 6 a)'!E15</f>
        <v>2114324.7000000002</v>
      </c>
      <c r="T8" s="18">
        <f>'Formato 6 a)'!F15</f>
        <v>2114324.7000000002</v>
      </c>
      <c r="U8" s="18">
        <f>'Formato 6 a)'!G15</f>
        <v>456086.38999999966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360000</v>
      </c>
      <c r="Q9" s="18">
        <f>'Formato 6 a)'!C16</f>
        <v>-275457.99</v>
      </c>
      <c r="R9" s="18">
        <f>'Formato 6 a)'!D16</f>
        <v>84542.010000000009</v>
      </c>
      <c r="S9" s="18">
        <f>'Formato 6 a)'!E16</f>
        <v>0</v>
      </c>
      <c r="T9" s="18">
        <f>'Formato 6 a)'!F16</f>
        <v>0</v>
      </c>
      <c r="U9" s="18">
        <f>'Formato 6 a)'!G16</f>
        <v>84542.010000000009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4398700</v>
      </c>
      <c r="Q11" s="18">
        <f>'Formato 6 a)'!C18</f>
        <v>582924.21</v>
      </c>
      <c r="R11" s="18">
        <f>'Formato 6 a)'!D18</f>
        <v>4981624.2100000009</v>
      </c>
      <c r="S11" s="18">
        <f>'Formato 6 a)'!E18</f>
        <v>4871764.0299999993</v>
      </c>
      <c r="T11" s="18">
        <f>'Formato 6 a)'!F18</f>
        <v>4835241.43</v>
      </c>
      <c r="U11" s="18">
        <f>'Formato 6 a)'!G18</f>
        <v>109860.18000000033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622500</v>
      </c>
      <c r="Q12" s="18">
        <f>'Formato 6 a)'!C19</f>
        <v>169046.19</v>
      </c>
      <c r="R12" s="18">
        <f>'Formato 6 a)'!D19</f>
        <v>791546.19</v>
      </c>
      <c r="S12" s="18">
        <f>'Formato 6 a)'!E19</f>
        <v>440347.46</v>
      </c>
      <c r="T12" s="18">
        <f>'Formato 6 a)'!F19</f>
        <v>440347.46</v>
      </c>
      <c r="U12" s="18">
        <f>'Formato 6 a)'!G19</f>
        <v>351198.72999999992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279000</v>
      </c>
      <c r="Q13" s="18">
        <f>'Formato 6 a)'!C20</f>
        <v>131201.19</v>
      </c>
      <c r="R13" s="18">
        <f>'Formato 6 a)'!D20</f>
        <v>410201.19</v>
      </c>
      <c r="S13" s="18">
        <f>'Formato 6 a)'!E20</f>
        <v>339918.87</v>
      </c>
      <c r="T13" s="18">
        <f>'Formato 6 a)'!F20</f>
        <v>303396.27</v>
      </c>
      <c r="U13" s="18">
        <f>'Formato 6 a)'!G20</f>
        <v>70282.320000000007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465700</v>
      </c>
      <c r="Q15" s="18">
        <f>'Formato 6 a)'!C22</f>
        <v>518185.23</v>
      </c>
      <c r="R15" s="18">
        <f>'Formato 6 a)'!D22</f>
        <v>983885.23</v>
      </c>
      <c r="S15" s="18">
        <f>'Formato 6 a)'!E22</f>
        <v>714245.37</v>
      </c>
      <c r="T15" s="18">
        <f>'Formato 6 a)'!F22</f>
        <v>714245.37</v>
      </c>
      <c r="U15" s="18">
        <f>'Formato 6 a)'!G22</f>
        <v>269639.86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185000</v>
      </c>
      <c r="Q16" s="18">
        <f>'Formato 6 a)'!C23</f>
        <v>-3022.4</v>
      </c>
      <c r="R16" s="18">
        <f>'Formato 6 a)'!D23</f>
        <v>181977.60000000001</v>
      </c>
      <c r="S16" s="18">
        <f>'Formato 6 a)'!E23</f>
        <v>138356.88</v>
      </c>
      <c r="T16" s="18">
        <f>'Formato 6 a)'!F23</f>
        <v>138356.88</v>
      </c>
      <c r="U16" s="18">
        <f>'Formato 6 a)'!G23</f>
        <v>43620.72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2598500</v>
      </c>
      <c r="Q17" s="18">
        <f>'Formato 6 a)'!C24</f>
        <v>-299977.26</v>
      </c>
      <c r="R17" s="18">
        <f>'Formato 6 a)'!D24</f>
        <v>2298522.7400000002</v>
      </c>
      <c r="S17" s="18">
        <f>'Formato 6 a)'!E24</f>
        <v>3126614.76</v>
      </c>
      <c r="T17" s="18">
        <f>'Formato 6 a)'!F24</f>
        <v>3126614.76</v>
      </c>
      <c r="U17" s="18">
        <f>'Formato 6 a)'!G24</f>
        <v>-828092.01999999955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164000</v>
      </c>
      <c r="Q18" s="18">
        <f>'Formato 6 a)'!C25</f>
        <v>43049.15</v>
      </c>
      <c r="R18" s="18">
        <f>'Formato 6 a)'!D25</f>
        <v>207049.15</v>
      </c>
      <c r="S18" s="18">
        <f>'Formato 6 a)'!E25</f>
        <v>53767.97</v>
      </c>
      <c r="T18" s="18">
        <f>'Formato 6 a)'!F25</f>
        <v>53767.97</v>
      </c>
      <c r="U18" s="18">
        <f>'Formato 6 a)'!G25</f>
        <v>153281.18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10000</v>
      </c>
      <c r="R19" s="18">
        <f>'Formato 6 a)'!D26</f>
        <v>10000</v>
      </c>
      <c r="S19" s="18">
        <f>'Formato 6 a)'!E26</f>
        <v>6400</v>
      </c>
      <c r="T19" s="18">
        <f>'Formato 6 a)'!F26</f>
        <v>6400</v>
      </c>
      <c r="U19" s="18">
        <f>'Formato 6 a)'!G26</f>
        <v>3600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84000</v>
      </c>
      <c r="Q20" s="18">
        <f>'Formato 6 a)'!C27</f>
        <v>14442.11</v>
      </c>
      <c r="R20" s="18">
        <f>'Formato 6 a)'!D27</f>
        <v>98442.11</v>
      </c>
      <c r="S20" s="18">
        <f>'Formato 6 a)'!E27</f>
        <v>52112.72</v>
      </c>
      <c r="T20" s="18">
        <f>'Formato 6 a)'!F27</f>
        <v>52112.72</v>
      </c>
      <c r="U20" s="18">
        <f>'Formato 6 a)'!G27</f>
        <v>46329.39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11788310.42</v>
      </c>
      <c r="Q21" s="18">
        <f>'Formato 6 a)'!C28</f>
        <v>2369525.0700000003</v>
      </c>
      <c r="R21" s="18">
        <f>'Formato 6 a)'!D28</f>
        <v>14157835.489999998</v>
      </c>
      <c r="S21" s="18">
        <f>'Formato 6 a)'!E28</f>
        <v>10697681.42</v>
      </c>
      <c r="T21" s="18">
        <f>'Formato 6 a)'!F28</f>
        <v>10570406.610000001</v>
      </c>
      <c r="U21" s="18">
        <f>'Formato 6 a)'!G28</f>
        <v>3460154.0700000003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2319300</v>
      </c>
      <c r="Q22" s="18">
        <f>'Formato 6 a)'!C29</f>
        <v>141226.98000000001</v>
      </c>
      <c r="R22" s="18">
        <f>'Formato 6 a)'!D29</f>
        <v>2460526.98</v>
      </c>
      <c r="S22" s="18">
        <f>'Formato 6 a)'!E29</f>
        <v>2132476.3199999998</v>
      </c>
      <c r="T22" s="18">
        <f>'Formato 6 a)'!F29</f>
        <v>2103672.3199999998</v>
      </c>
      <c r="U22" s="18">
        <f>'Formato 6 a)'!G29</f>
        <v>328050.66000000015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331000</v>
      </c>
      <c r="Q23" s="18">
        <f>'Formato 6 a)'!C30</f>
        <v>35347.18</v>
      </c>
      <c r="R23" s="18">
        <f>'Formato 6 a)'!D30</f>
        <v>366347.18</v>
      </c>
      <c r="S23" s="18">
        <f>'Formato 6 a)'!E30</f>
        <v>217375.64</v>
      </c>
      <c r="T23" s="18">
        <f>'Formato 6 a)'!F30</f>
        <v>217375.64</v>
      </c>
      <c r="U23" s="18">
        <f>'Formato 6 a)'!G30</f>
        <v>148971.53999999998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107000</v>
      </c>
      <c r="Q24" s="18">
        <f>'Formato 6 a)'!C31</f>
        <v>42504.800000000003</v>
      </c>
      <c r="R24" s="18">
        <f>'Formato 6 a)'!D31</f>
        <v>149504.79999999999</v>
      </c>
      <c r="S24" s="18">
        <f>'Formato 6 a)'!E31</f>
        <v>80085</v>
      </c>
      <c r="T24" s="18">
        <f>'Formato 6 a)'!F31</f>
        <v>80085</v>
      </c>
      <c r="U24" s="18">
        <f>'Formato 6 a)'!G31</f>
        <v>69419.799999999988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327000</v>
      </c>
      <c r="Q25" s="18">
        <f>'Formato 6 a)'!C32</f>
        <v>911224.48</v>
      </c>
      <c r="R25" s="18">
        <f>'Formato 6 a)'!D32</f>
        <v>1238224.48</v>
      </c>
      <c r="S25" s="18">
        <f>'Formato 6 a)'!E32</f>
        <v>360350.6</v>
      </c>
      <c r="T25" s="18">
        <f>'Formato 6 a)'!F32</f>
        <v>360350.6</v>
      </c>
      <c r="U25" s="18">
        <f>'Formato 6 a)'!G32</f>
        <v>877873.88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1971900</v>
      </c>
      <c r="Q26" s="18">
        <f>'Formato 6 a)'!C33</f>
        <v>724912.08</v>
      </c>
      <c r="R26" s="18">
        <f>'Formato 6 a)'!D33</f>
        <v>2696812.08</v>
      </c>
      <c r="S26" s="18">
        <f>'Formato 6 a)'!E33</f>
        <v>1966357.94</v>
      </c>
      <c r="T26" s="18">
        <f>'Formato 6 a)'!F33</f>
        <v>1943681.33</v>
      </c>
      <c r="U26" s="18">
        <f>'Formato 6 a)'!G33</f>
        <v>730454.14000000013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332000</v>
      </c>
      <c r="Q27" s="18">
        <f>'Formato 6 a)'!C34</f>
        <v>-33401.94</v>
      </c>
      <c r="R27" s="18">
        <f>'Formato 6 a)'!D34</f>
        <v>298598.06</v>
      </c>
      <c r="S27" s="18">
        <f>'Formato 6 a)'!E34</f>
        <v>93106.48</v>
      </c>
      <c r="T27" s="18">
        <f>'Formato 6 a)'!F34</f>
        <v>93106.48</v>
      </c>
      <c r="U27" s="18">
        <f>'Formato 6 a)'!G34</f>
        <v>205491.58000000002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297300</v>
      </c>
      <c r="Q28" s="18">
        <f>'Formato 6 a)'!C35</f>
        <v>182760.14</v>
      </c>
      <c r="R28" s="18">
        <f>'Formato 6 a)'!D35</f>
        <v>480060.14</v>
      </c>
      <c r="S28" s="18">
        <f>'Formato 6 a)'!E35</f>
        <v>262954.15999999997</v>
      </c>
      <c r="T28" s="18">
        <f>'Formato 6 a)'!F35</f>
        <v>260959.96</v>
      </c>
      <c r="U28" s="18">
        <f>'Formato 6 a)'!G35</f>
        <v>217105.98000000004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5429000</v>
      </c>
      <c r="Q29" s="18">
        <f>'Formato 6 a)'!C36</f>
        <v>-1031513.66</v>
      </c>
      <c r="R29" s="18">
        <f>'Formato 6 a)'!D36</f>
        <v>4397486.34</v>
      </c>
      <c r="S29" s="18">
        <f>'Formato 6 a)'!E36</f>
        <v>3962776</v>
      </c>
      <c r="T29" s="18">
        <f>'Formato 6 a)'!F36</f>
        <v>3888976</v>
      </c>
      <c r="U29" s="18">
        <f>'Formato 6 a)'!G36</f>
        <v>434710.33999999985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673810.42</v>
      </c>
      <c r="Q30" s="18">
        <f>'Formato 6 a)'!C37</f>
        <v>1396465.01</v>
      </c>
      <c r="R30" s="18">
        <f>'Formato 6 a)'!D37</f>
        <v>2070275.4300000002</v>
      </c>
      <c r="S30" s="18">
        <f>'Formato 6 a)'!E37</f>
        <v>1622199.28</v>
      </c>
      <c r="T30" s="18">
        <f>'Formato 6 a)'!F37</f>
        <v>1622199.28</v>
      </c>
      <c r="U30" s="18">
        <f>'Formato 6 a)'!G37</f>
        <v>448076.15000000014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8020000</v>
      </c>
      <c r="Q31" s="18">
        <f>'Formato 6 a)'!C38</f>
        <v>1966998.78</v>
      </c>
      <c r="R31" s="18">
        <f>'Formato 6 a)'!D38</f>
        <v>9986998.7800000012</v>
      </c>
      <c r="S31" s="18">
        <f>'Formato 6 a)'!E38</f>
        <v>9692602.5899999999</v>
      </c>
      <c r="T31" s="18">
        <f>'Formato 6 a)'!F38</f>
        <v>9689102.5899999999</v>
      </c>
      <c r="U31" s="18">
        <f>'Formato 6 a)'!G38</f>
        <v>294396.19000000041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5520000</v>
      </c>
      <c r="Q33" s="18">
        <f>'Formato 6 a)'!C40</f>
        <v>800000</v>
      </c>
      <c r="R33" s="18">
        <f>'Formato 6 a)'!D40</f>
        <v>6320000</v>
      </c>
      <c r="S33" s="18">
        <f>'Formato 6 a)'!E40</f>
        <v>6290000</v>
      </c>
      <c r="T33" s="18">
        <f>'Formato 6 a)'!F40</f>
        <v>6290000</v>
      </c>
      <c r="U33" s="18">
        <f>'Formato 6 a)'!G40</f>
        <v>30000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2500000</v>
      </c>
      <c r="Q35" s="18">
        <f>'Formato 6 a)'!C42</f>
        <v>1166998.78</v>
      </c>
      <c r="R35" s="18">
        <f>'Formato 6 a)'!D42</f>
        <v>3666998.7800000003</v>
      </c>
      <c r="S35" s="18">
        <f>'Formato 6 a)'!E42</f>
        <v>3402602.59</v>
      </c>
      <c r="T35" s="18">
        <f>'Formato 6 a)'!F42</f>
        <v>3399102.59</v>
      </c>
      <c r="U35" s="18">
        <f>'Formato 6 a)'!G42</f>
        <v>264396.19000000041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754000</v>
      </c>
      <c r="Q41" s="18">
        <f>'Formato 6 a)'!C48</f>
        <v>1166868.49</v>
      </c>
      <c r="R41" s="18">
        <f>'Formato 6 a)'!D48</f>
        <v>1920868.49</v>
      </c>
      <c r="S41" s="18">
        <f>'Formato 6 a)'!E48</f>
        <v>1255120.29</v>
      </c>
      <c r="T41" s="18">
        <f>'Formato 6 a)'!F48</f>
        <v>1255120.29</v>
      </c>
      <c r="U41" s="18">
        <f>'Formato 6 a)'!G48</f>
        <v>665748.19999999995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592000</v>
      </c>
      <c r="Q42" s="18">
        <f>'Formato 6 a)'!C49</f>
        <v>56253.49</v>
      </c>
      <c r="R42" s="18">
        <f>'Formato 6 a)'!D49</f>
        <v>648253.49</v>
      </c>
      <c r="S42" s="18">
        <f>'Formato 6 a)'!E49</f>
        <v>114623.31</v>
      </c>
      <c r="T42" s="18">
        <f>'Formato 6 a)'!F49</f>
        <v>114623.31</v>
      </c>
      <c r="U42" s="18">
        <f>'Formato 6 a)'!G49</f>
        <v>533630.17999999993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44000</v>
      </c>
      <c r="Q43" s="18">
        <f>'Formato 6 a)'!C50</f>
        <v>-11840</v>
      </c>
      <c r="R43" s="18">
        <f>'Formato 6 a)'!D50</f>
        <v>32160</v>
      </c>
      <c r="S43" s="18">
        <f>'Formato 6 a)'!E50</f>
        <v>0</v>
      </c>
      <c r="T43" s="18">
        <f>'Formato 6 a)'!F50</f>
        <v>0</v>
      </c>
      <c r="U43" s="18">
        <f>'Formato 6 a)'!G50</f>
        <v>32160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10000</v>
      </c>
      <c r="Q44" s="18">
        <f>'Formato 6 a)'!C51</f>
        <v>0</v>
      </c>
      <c r="R44" s="18">
        <f>'Formato 6 a)'!D51</f>
        <v>10000</v>
      </c>
      <c r="S44" s="18">
        <f>'Formato 6 a)'!E51</f>
        <v>0</v>
      </c>
      <c r="T44" s="18">
        <f>'Formato 6 a)'!F51</f>
        <v>0</v>
      </c>
      <c r="U44" s="18">
        <f>'Formato 6 a)'!G51</f>
        <v>10000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1158000</v>
      </c>
      <c r="R45" s="18">
        <f>'Formato 6 a)'!D52</f>
        <v>1158000</v>
      </c>
      <c r="S45" s="18">
        <f>'Formato 6 a)'!E52</f>
        <v>1130598</v>
      </c>
      <c r="T45" s="18">
        <f>'Formato 6 a)'!F52</f>
        <v>1130598</v>
      </c>
      <c r="U45" s="18">
        <f>'Formato 6 a)'!G52</f>
        <v>27402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101000</v>
      </c>
      <c r="Q47" s="18">
        <f>'Formato 6 a)'!C54</f>
        <v>-36051</v>
      </c>
      <c r="R47" s="18">
        <f>'Formato 6 a)'!D54</f>
        <v>64949</v>
      </c>
      <c r="S47" s="18">
        <f>'Formato 6 a)'!E54</f>
        <v>9898.98</v>
      </c>
      <c r="T47" s="18">
        <f>'Formato 6 a)'!F54</f>
        <v>9898.98</v>
      </c>
      <c r="U47" s="18">
        <f>'Formato 6 a)'!G54</f>
        <v>55050.020000000004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7000</v>
      </c>
      <c r="Q50" s="18">
        <f>'Formato 6 a)'!C57</f>
        <v>506</v>
      </c>
      <c r="R50" s="18">
        <f>'Formato 6 a)'!D57</f>
        <v>7506</v>
      </c>
      <c r="S50" s="18">
        <f>'Formato 6 a)'!E57</f>
        <v>0</v>
      </c>
      <c r="T50" s="18">
        <f>'Formato 6 a)'!F57</f>
        <v>0</v>
      </c>
      <c r="U50" s="18">
        <f>'Formato 6 a)'!G57</f>
        <v>7506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250000</v>
      </c>
      <c r="Q51" s="18">
        <f>'Formato 6 a)'!C58</f>
        <v>5282296.3</v>
      </c>
      <c r="R51" s="18">
        <f>'Formato 6 a)'!D58</f>
        <v>5532296.2999999998</v>
      </c>
      <c r="S51" s="18">
        <f>'Formato 6 a)'!E58</f>
        <v>4928265.93</v>
      </c>
      <c r="T51" s="18">
        <f>'Formato 6 a)'!F58</f>
        <v>4651859.68</v>
      </c>
      <c r="U51" s="18">
        <f>'Formato 6 a)'!G58</f>
        <v>604030.36999999988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4992831.2699999996</v>
      </c>
      <c r="R52" s="18">
        <f>'Formato 6 a)'!D59</f>
        <v>4992831.2699999996</v>
      </c>
      <c r="S52" s="18">
        <f>'Formato 6 a)'!E59</f>
        <v>4487387.01</v>
      </c>
      <c r="T52" s="18">
        <f>'Formato 6 a)'!F59</f>
        <v>4210980.76</v>
      </c>
      <c r="U52" s="18">
        <f>'Formato 6 a)'!G59</f>
        <v>505444.25999999978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250000</v>
      </c>
      <c r="Q54" s="18">
        <f>'Formato 6 a)'!C61</f>
        <v>289465.03000000003</v>
      </c>
      <c r="R54" s="18">
        <f>'Formato 6 a)'!D61</f>
        <v>539465.03</v>
      </c>
      <c r="S54" s="18">
        <f>'Formato 6 a)'!E61</f>
        <v>440878.92</v>
      </c>
      <c r="T54" s="18">
        <f>'Formato 6 a)'!F61</f>
        <v>440878.92</v>
      </c>
      <c r="U54" s="18">
        <f>'Formato 6 a)'!G61</f>
        <v>98586.110000000044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1650953.72</v>
      </c>
      <c r="Q55" s="18">
        <f>'Formato 6 a)'!C62</f>
        <v>2417173.35</v>
      </c>
      <c r="R55" s="18">
        <f>'Formato 6 a)'!D62</f>
        <v>4068127.0700000003</v>
      </c>
      <c r="S55" s="18">
        <f>'Formato 6 a)'!E62</f>
        <v>0</v>
      </c>
      <c r="T55" s="18">
        <f>'Formato 6 a)'!F62</f>
        <v>0</v>
      </c>
      <c r="U55" s="18">
        <f>'Formato 6 a)'!G62</f>
        <v>4068127.0700000003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1650953.72</v>
      </c>
      <c r="Q63" s="18">
        <f>'Formato 6 a)'!C70</f>
        <v>2417173.35</v>
      </c>
      <c r="R63" s="18">
        <f>'Formato 6 a)'!D70</f>
        <v>4068127.0700000003</v>
      </c>
      <c r="S63" s="18">
        <f>'Formato 6 a)'!E70</f>
        <v>0</v>
      </c>
      <c r="T63" s="18">
        <f>'Formato 6 a)'!F70</f>
        <v>0</v>
      </c>
      <c r="U63" s="18">
        <f>'Formato 6 a)'!G70</f>
        <v>4068127.0700000003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32912.94</v>
      </c>
      <c r="R64" s="18">
        <f>'Formato 6 a)'!D71</f>
        <v>32912.94</v>
      </c>
      <c r="S64" s="18">
        <f>'Formato 6 a)'!E71</f>
        <v>32912.94</v>
      </c>
      <c r="T64" s="18">
        <f>'Formato 6 a)'!F71</f>
        <v>32912.94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32912.94</v>
      </c>
      <c r="R67" s="18">
        <f>'Formato 6 a)'!D74</f>
        <v>32912.94</v>
      </c>
      <c r="S67" s="18">
        <f>'Formato 6 a)'!E74</f>
        <v>32912.94</v>
      </c>
      <c r="T67" s="18">
        <f>'Formato 6 a)'!F74</f>
        <v>32912.94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39000000</v>
      </c>
      <c r="Q76">
        <f>'Formato 6 a)'!C84</f>
        <v>27159167.470000003</v>
      </c>
      <c r="R76">
        <f>'Formato 6 a)'!D84</f>
        <v>66159167.470000006</v>
      </c>
      <c r="S76">
        <f>'Formato 6 a)'!E84</f>
        <v>61659927.580000006</v>
      </c>
      <c r="T76">
        <f>'Formato 6 a)'!F84</f>
        <v>57859207.279999994</v>
      </c>
      <c r="U76">
        <f>'Formato 6 a)'!G84</f>
        <v>4499239.8899999969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7086142.8600000003</v>
      </c>
      <c r="Q77">
        <f>'Formato 6 a)'!C85</f>
        <v>69360.5</v>
      </c>
      <c r="R77">
        <f>'Formato 6 a)'!D85</f>
        <v>7155503.3600000013</v>
      </c>
      <c r="S77">
        <f>'Formato 6 a)'!E85</f>
        <v>6117675.3700000001</v>
      </c>
      <c r="T77">
        <f>'Formato 6 a)'!F85</f>
        <v>6117675.3700000001</v>
      </c>
      <c r="U77">
        <f>'Formato 6 a)'!G85</f>
        <v>1037827.9900000006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6159834.9000000004</v>
      </c>
      <c r="Q78">
        <f>'Formato 6 a)'!C86</f>
        <v>10240.16</v>
      </c>
      <c r="R78">
        <f>'Formato 6 a)'!D86</f>
        <v>6170075.0600000005</v>
      </c>
      <c r="S78">
        <f>'Formato 6 a)'!E86</f>
        <v>5285123.67</v>
      </c>
      <c r="T78">
        <f>'Formato 6 a)'!F86</f>
        <v>5285123.67</v>
      </c>
      <c r="U78">
        <f>'Formato 6 a)'!G86</f>
        <v>884951.3900000006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74035.199999999997</v>
      </c>
      <c r="R79">
        <f>'Formato 6 a)'!D87</f>
        <v>74035.199999999997</v>
      </c>
      <c r="S79">
        <f>'Formato 6 a)'!E87</f>
        <v>74035.199999999997</v>
      </c>
      <c r="T79">
        <f>'Formato 6 a)'!F87</f>
        <v>74035.199999999997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826307.96</v>
      </c>
      <c r="Q80">
        <f>'Formato 6 a)'!C88</f>
        <v>3433.9</v>
      </c>
      <c r="R80">
        <f>'Formato 6 a)'!D88</f>
        <v>829741.86</v>
      </c>
      <c r="S80">
        <f>'Formato 6 a)'!E88</f>
        <v>675144.34</v>
      </c>
      <c r="T80">
        <f>'Formato 6 a)'!F88</f>
        <v>675144.34</v>
      </c>
      <c r="U80">
        <f>'Formato 6 a)'!G88</f>
        <v>154597.52000000002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81651.240000000005</v>
      </c>
      <c r="R82">
        <f>'Formato 6 a)'!D90</f>
        <v>81651.240000000005</v>
      </c>
      <c r="S82">
        <f>'Formato 6 a)'!E90</f>
        <v>83372.160000000003</v>
      </c>
      <c r="T82">
        <f>'Formato 6 a)'!F90</f>
        <v>83372.160000000003</v>
      </c>
      <c r="U82">
        <f>'Formato 6 a)'!G90</f>
        <v>-1720.9199999999983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100000</v>
      </c>
      <c r="Q83">
        <f>'Formato 6 a)'!C91</f>
        <v>-100000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1360000</v>
      </c>
      <c r="Q85">
        <f>'Formato 6 a)'!C93</f>
        <v>-2432.5499999999997</v>
      </c>
      <c r="R85">
        <f>'Formato 6 a)'!D93</f>
        <v>1357567.4500000002</v>
      </c>
      <c r="S85">
        <f>'Formato 6 a)'!E93</f>
        <v>1229254.8400000001</v>
      </c>
      <c r="T85">
        <f>'Formato 6 a)'!F93</f>
        <v>1229254.8400000001</v>
      </c>
      <c r="U85">
        <f>'Formato 6 a)'!G93</f>
        <v>128312.61000000012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209.59</v>
      </c>
      <c r="R86">
        <f>'Formato 6 a)'!D94</f>
        <v>209.59</v>
      </c>
      <c r="S86">
        <f>'Formato 6 a)'!E94</f>
        <v>209.59</v>
      </c>
      <c r="T86">
        <f>'Formato 6 a)'!F94</f>
        <v>209.59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200000</v>
      </c>
      <c r="Q89">
        <f>'Formato 6 a)'!C97</f>
        <v>0</v>
      </c>
      <c r="R89">
        <f>'Formato 6 a)'!D97</f>
        <v>200000</v>
      </c>
      <c r="S89">
        <f>'Formato 6 a)'!E97</f>
        <v>71688.02</v>
      </c>
      <c r="T89">
        <f>'Formato 6 a)'!F97</f>
        <v>71688.02</v>
      </c>
      <c r="U89">
        <f>'Formato 6 a)'!G97</f>
        <v>128311.98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1160000</v>
      </c>
      <c r="Q91">
        <f>'Formato 6 a)'!C99</f>
        <v>-2642.14</v>
      </c>
      <c r="R91">
        <f>'Formato 6 a)'!D99</f>
        <v>1157357.8600000001</v>
      </c>
      <c r="S91">
        <f>'Formato 6 a)'!E99</f>
        <v>1157357.23</v>
      </c>
      <c r="T91">
        <f>'Formato 6 a)'!F99</f>
        <v>1157357.23</v>
      </c>
      <c r="U91">
        <f>'Formato 6 a)'!G99</f>
        <v>0.63000000012107193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570000</v>
      </c>
      <c r="Q95">
        <f>'Formato 6 a)'!C103</f>
        <v>-9311</v>
      </c>
      <c r="R95">
        <f>'Formato 6 a)'!D103</f>
        <v>560689</v>
      </c>
      <c r="S95">
        <f>'Formato 6 a)'!E103</f>
        <v>189186.48</v>
      </c>
      <c r="T95">
        <f>'Formato 6 a)'!F103</f>
        <v>189186.48</v>
      </c>
      <c r="U95">
        <f>'Formato 6 a)'!G103</f>
        <v>371502.52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570000</v>
      </c>
      <c r="Q100">
        <f>'Formato 6 a)'!C108</f>
        <v>-9311</v>
      </c>
      <c r="R100">
        <f>'Formato 6 a)'!D108</f>
        <v>560689</v>
      </c>
      <c r="S100">
        <f>'Formato 6 a)'!E108</f>
        <v>189186.48</v>
      </c>
      <c r="T100">
        <f>'Formato 6 a)'!F108</f>
        <v>189186.48</v>
      </c>
      <c r="U100">
        <f>'Formato 6 a)'!G108</f>
        <v>371502.52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4000000</v>
      </c>
      <c r="Q105">
        <f>'Formato 6 a)'!C113</f>
        <v>14022892.039999999</v>
      </c>
      <c r="R105">
        <f>'Formato 6 a)'!D113</f>
        <v>18022892.039999999</v>
      </c>
      <c r="S105">
        <f>'Formato 6 a)'!E113</f>
        <v>16199992.66</v>
      </c>
      <c r="T105">
        <f>'Formato 6 a)'!F113</f>
        <v>14636969.720000001</v>
      </c>
      <c r="U105">
        <f>'Formato 6 a)'!G113</f>
        <v>1822899.379999999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4000000</v>
      </c>
      <c r="Q108">
        <f>'Formato 6 a)'!C116</f>
        <v>0</v>
      </c>
      <c r="R108">
        <f>'Formato 6 a)'!D116</f>
        <v>4000000</v>
      </c>
      <c r="S108">
        <f>'Formato 6 a)'!E116</f>
        <v>3091944.01</v>
      </c>
      <c r="T108">
        <f>'Formato 6 a)'!F116</f>
        <v>3091944.01</v>
      </c>
      <c r="U108">
        <f>'Formato 6 a)'!G116</f>
        <v>908055.99000000022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14022892.039999999</v>
      </c>
      <c r="R109">
        <f>'Formato 6 a)'!D117</f>
        <v>14022892.039999999</v>
      </c>
      <c r="S109">
        <f>'Formato 6 a)'!E117</f>
        <v>13108048.65</v>
      </c>
      <c r="T109">
        <f>'Formato 6 a)'!F117</f>
        <v>11545025.710000001</v>
      </c>
      <c r="U109">
        <f>'Formato 6 a)'!G117</f>
        <v>914843.38999999873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38150640.18</v>
      </c>
      <c r="R125">
        <f>'Formato 6 a)'!D133</f>
        <v>38150640.18</v>
      </c>
      <c r="S125">
        <f>'Formato 6 a)'!E133</f>
        <v>37020794.770000003</v>
      </c>
      <c r="T125">
        <f>'Formato 6 a)'!F133</f>
        <v>34783097.409999996</v>
      </c>
      <c r="U125">
        <f>'Formato 6 a)'!G133</f>
        <v>1129845.4099999964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38150640.18</v>
      </c>
      <c r="R126">
        <f>'Formato 6 a)'!D134</f>
        <v>38150640.18</v>
      </c>
      <c r="S126">
        <f>'Formato 6 a)'!E134</f>
        <v>37020794.770000003</v>
      </c>
      <c r="T126">
        <f>'Formato 6 a)'!F134</f>
        <v>34783097.409999996</v>
      </c>
      <c r="U126">
        <f>'Formato 6 a)'!G134</f>
        <v>1129845.4099999964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25983857.140000001</v>
      </c>
      <c r="Q129">
        <f>'Formato 6 a)'!C137</f>
        <v>-25975005.16</v>
      </c>
      <c r="R129">
        <f>'Formato 6 a)'!D137</f>
        <v>8851.980000000447</v>
      </c>
      <c r="S129">
        <f>'Formato 6 a)'!E137</f>
        <v>0</v>
      </c>
      <c r="T129">
        <f>'Formato 6 a)'!F137</f>
        <v>0</v>
      </c>
      <c r="U129">
        <f>'Formato 6 a)'!G137</f>
        <v>8851.980000000447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25983857.140000001</v>
      </c>
      <c r="Q137">
        <f>'Formato 6 a)'!C145</f>
        <v>-25975005.16</v>
      </c>
      <c r="R137">
        <f>'Formato 6 a)'!D145</f>
        <v>8851.980000000447</v>
      </c>
      <c r="S137">
        <f>'Formato 6 a)'!E145</f>
        <v>0</v>
      </c>
      <c r="T137">
        <f>'Formato 6 a)'!F145</f>
        <v>0</v>
      </c>
      <c r="U137">
        <f>'Formato 6 a)'!G145</f>
        <v>8851.980000000447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903023.46</v>
      </c>
      <c r="R138">
        <f>'Formato 6 a)'!D146</f>
        <v>903023.46</v>
      </c>
      <c r="S138">
        <f>'Formato 6 a)'!E146</f>
        <v>903023.46</v>
      </c>
      <c r="T138">
        <f>'Formato 6 a)'!F146</f>
        <v>903023.46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903023.46</v>
      </c>
      <c r="R141">
        <f>'Formato 6 a)'!D149</f>
        <v>903023.46</v>
      </c>
      <c r="S141">
        <f>'Formato 6 a)'!E149</f>
        <v>903023.46</v>
      </c>
      <c r="T141">
        <f>'Formato 6 a)'!F149</f>
        <v>903023.46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94673000</v>
      </c>
      <c r="Q150">
        <f>'Formato 6 a)'!C159</f>
        <v>41769056.050000004</v>
      </c>
      <c r="R150">
        <f>'Formato 6 a)'!D159</f>
        <v>136442056.05000001</v>
      </c>
      <c r="S150">
        <f>'Formato 6 a)'!E159</f>
        <v>119821079.06999999</v>
      </c>
      <c r="T150">
        <f>'Formato 6 a)'!F159</f>
        <v>115541655.10999998</v>
      </c>
      <c r="U150">
        <f>'Formato 6 a)'!G159</f>
        <v>16620976.979999997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B29" sqref="B2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1" t="s">
        <v>3290</v>
      </c>
      <c r="B1" s="171"/>
      <c r="C1" s="171"/>
      <c r="D1" s="171"/>
      <c r="E1" s="171"/>
      <c r="F1" s="171"/>
      <c r="G1" s="171"/>
    </row>
    <row r="2" spans="1:7" x14ac:dyDescent="0.2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4"/>
    </row>
    <row r="3" spans="1:7" x14ac:dyDescent="0.25">
      <c r="A3" s="155" t="s">
        <v>277</v>
      </c>
      <c r="B3" s="156"/>
      <c r="C3" s="156"/>
      <c r="D3" s="156"/>
      <c r="E3" s="156"/>
      <c r="F3" s="156"/>
      <c r="G3" s="157"/>
    </row>
    <row r="4" spans="1:7" x14ac:dyDescent="0.25">
      <c r="A4" s="155" t="s">
        <v>431</v>
      </c>
      <c r="B4" s="156"/>
      <c r="C4" s="156"/>
      <c r="D4" s="156"/>
      <c r="E4" s="156"/>
      <c r="F4" s="156"/>
      <c r="G4" s="157"/>
    </row>
    <row r="5" spans="1:7" x14ac:dyDescent="0.25">
      <c r="A5" s="158" t="str">
        <f>TRIMESTRE</f>
        <v>Del 1 de enero al 31 de diciembre de 2021 (b)</v>
      </c>
      <c r="B5" s="159"/>
      <c r="C5" s="159"/>
      <c r="D5" s="159"/>
      <c r="E5" s="159"/>
      <c r="F5" s="159"/>
      <c r="G5" s="160"/>
    </row>
    <row r="6" spans="1:7" x14ac:dyDescent="0.25">
      <c r="A6" s="161" t="s">
        <v>118</v>
      </c>
      <c r="B6" s="162"/>
      <c r="C6" s="162"/>
      <c r="D6" s="162"/>
      <c r="E6" s="162"/>
      <c r="F6" s="162"/>
      <c r="G6" s="163"/>
    </row>
    <row r="7" spans="1:7" x14ac:dyDescent="0.25">
      <c r="A7" s="167" t="s">
        <v>0</v>
      </c>
      <c r="B7" s="169" t="s">
        <v>279</v>
      </c>
      <c r="C7" s="169"/>
      <c r="D7" s="169"/>
      <c r="E7" s="169"/>
      <c r="F7" s="169"/>
      <c r="G7" s="173" t="s">
        <v>280</v>
      </c>
    </row>
    <row r="8" spans="1:7" ht="30" x14ac:dyDescent="0.25">
      <c r="A8" s="168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2"/>
    </row>
    <row r="9" spans="1:7" x14ac:dyDescent="0.25">
      <c r="A9" s="52" t="s">
        <v>440</v>
      </c>
      <c r="B9" s="59">
        <f>SUM(B10:GASTO_NE_FIN_01)</f>
        <v>55673000</v>
      </c>
      <c r="C9" s="59">
        <f>SUM(C10:GASTO_NE_FIN_02)</f>
        <v>14609888.58</v>
      </c>
      <c r="D9" s="59">
        <f>SUM(D10:GASTO_NE_FIN_03)</f>
        <v>70282888.579999998</v>
      </c>
      <c r="E9" s="59">
        <f>SUM(E10:GASTO_NE_FIN_04)</f>
        <v>58161151.490000002</v>
      </c>
      <c r="F9" s="59">
        <f>SUM(F10:GASTO_NE_FIN_05)</f>
        <v>57682447.829999998</v>
      </c>
      <c r="G9" s="59">
        <f>SUM(G10:GASTO_NE_FIN_06)</f>
        <v>12121737.089999998</v>
      </c>
    </row>
    <row r="10" spans="1:7" s="24" customFormat="1" x14ac:dyDescent="0.25">
      <c r="A10" s="143" t="s">
        <v>432</v>
      </c>
      <c r="B10" s="253">
        <v>55673000</v>
      </c>
      <c r="C10" s="253">
        <v>0</v>
      </c>
      <c r="D10" s="252">
        <v>55673000</v>
      </c>
      <c r="E10" s="253">
        <v>58161151.490000002</v>
      </c>
      <c r="F10" s="253">
        <v>57682447.829999998</v>
      </c>
      <c r="G10" s="77">
        <f>D10-E10</f>
        <v>-2488151.4900000021</v>
      </c>
    </row>
    <row r="11" spans="1:7" s="24" customFormat="1" x14ac:dyDescent="0.25">
      <c r="A11" s="143" t="s">
        <v>433</v>
      </c>
      <c r="B11" s="253">
        <v>0</v>
      </c>
      <c r="C11" s="253">
        <v>14609888.58</v>
      </c>
      <c r="D11" s="252">
        <v>14609888.58</v>
      </c>
      <c r="E11" s="253">
        <v>0</v>
      </c>
      <c r="F11" s="253">
        <v>0</v>
      </c>
      <c r="G11" s="77">
        <f t="shared" ref="G11:G17" si="0">D11-E11</f>
        <v>14609888.58</v>
      </c>
    </row>
    <row r="12" spans="1:7" s="24" customFormat="1" ht="14.25" customHeight="1" x14ac:dyDescent="0.25">
      <c r="A12" s="143" t="s">
        <v>434</v>
      </c>
      <c r="B12" s="252"/>
      <c r="C12" s="252"/>
      <c r="D12" s="252">
        <v>0</v>
      </c>
      <c r="E12" s="252"/>
      <c r="F12" s="252"/>
      <c r="G12" s="77">
        <f t="shared" si="0"/>
        <v>0</v>
      </c>
    </row>
    <row r="13" spans="1:7" s="24" customFormat="1" ht="14.25" customHeight="1" x14ac:dyDescent="0.25">
      <c r="A13" s="143" t="s">
        <v>435</v>
      </c>
      <c r="B13" s="252"/>
      <c r="C13" s="252"/>
      <c r="D13" s="252">
        <v>0</v>
      </c>
      <c r="E13" s="252"/>
      <c r="F13" s="252"/>
      <c r="G13" s="77">
        <f t="shared" si="0"/>
        <v>0</v>
      </c>
    </row>
    <row r="14" spans="1:7" s="24" customFormat="1" ht="14.25" customHeight="1" x14ac:dyDescent="0.25">
      <c r="A14" s="143" t="s">
        <v>436</v>
      </c>
      <c r="B14" s="252"/>
      <c r="C14" s="252"/>
      <c r="D14" s="252">
        <v>0</v>
      </c>
      <c r="E14" s="252"/>
      <c r="F14" s="252"/>
      <c r="G14" s="77">
        <f t="shared" si="0"/>
        <v>0</v>
      </c>
    </row>
    <row r="15" spans="1:7" s="24" customFormat="1" ht="14.25" customHeight="1" x14ac:dyDescent="0.25">
      <c r="A15" s="143" t="s">
        <v>437</v>
      </c>
      <c r="B15" s="252"/>
      <c r="C15" s="252"/>
      <c r="D15" s="252">
        <v>0</v>
      </c>
      <c r="E15" s="252"/>
      <c r="F15" s="252"/>
      <c r="G15" s="77">
        <f t="shared" si="0"/>
        <v>0</v>
      </c>
    </row>
    <row r="16" spans="1:7" s="24" customFormat="1" ht="14.25" customHeight="1" x14ac:dyDescent="0.25">
      <c r="A16" s="143" t="s">
        <v>438</v>
      </c>
      <c r="B16" s="252"/>
      <c r="C16" s="252"/>
      <c r="D16" s="252">
        <v>0</v>
      </c>
      <c r="E16" s="252"/>
      <c r="F16" s="252"/>
      <c r="G16" s="77">
        <f t="shared" si="0"/>
        <v>0</v>
      </c>
    </row>
    <row r="17" spans="1:7" s="24" customFormat="1" ht="14.25" customHeight="1" x14ac:dyDescent="0.25">
      <c r="A17" s="143" t="s">
        <v>439</v>
      </c>
      <c r="B17" s="252"/>
      <c r="C17" s="252"/>
      <c r="D17" s="252">
        <v>0</v>
      </c>
      <c r="E17" s="252"/>
      <c r="F17" s="252"/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39000000</v>
      </c>
      <c r="C19" s="61">
        <f>SUM(C20:GASTO_E_FIN_02)</f>
        <v>27159167.469999999</v>
      </c>
      <c r="D19" s="61">
        <f>SUM(D20:GASTO_E_FIN_03)</f>
        <v>66159167.469999999</v>
      </c>
      <c r="E19" s="61">
        <f>SUM(E20:GASTO_E_FIN_04)</f>
        <v>61659927.579999998</v>
      </c>
      <c r="F19" s="61">
        <f>SUM(F20:GASTO_E_FIN_05)</f>
        <v>99244.79</v>
      </c>
      <c r="G19" s="61">
        <f>SUM(G20:GASTO_E_FIN_06)</f>
        <v>4499239.8900000006</v>
      </c>
    </row>
    <row r="20" spans="1:7" s="24" customFormat="1" x14ac:dyDescent="0.25">
      <c r="A20" s="143" t="s">
        <v>432</v>
      </c>
      <c r="B20" s="255">
        <v>39000000</v>
      </c>
      <c r="C20" s="255">
        <v>27159167.469999999</v>
      </c>
      <c r="D20" s="254">
        <v>66159167.469999999</v>
      </c>
      <c r="E20" s="255">
        <v>61659927.579999998</v>
      </c>
      <c r="F20" s="255">
        <v>99244.79</v>
      </c>
      <c r="G20" s="60">
        <f>D20-E20</f>
        <v>4499239.8900000006</v>
      </c>
    </row>
    <row r="21" spans="1:7" s="24" customFormat="1" x14ac:dyDescent="0.25">
      <c r="A21" s="143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x14ac:dyDescent="0.25">
      <c r="A22" s="143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3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3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3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3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3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94673000</v>
      </c>
      <c r="C29" s="61">
        <f>GASTO_NE_T2+GASTO_E_T2</f>
        <v>41769056.049999997</v>
      </c>
      <c r="D29" s="61">
        <f>GASTO_NE_T3+GASTO_E_T3</f>
        <v>136442056.05000001</v>
      </c>
      <c r="E29" s="61">
        <f>GASTO_NE_T4+GASTO_E_T4</f>
        <v>119821079.06999999</v>
      </c>
      <c r="F29" s="61">
        <f>GASTO_NE_T5+GASTO_E_T5</f>
        <v>57781692.619999997</v>
      </c>
      <c r="G29" s="61">
        <f>GASTO_NE_T6+GASTO_E_T6</f>
        <v>16620976.979999999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55673000</v>
      </c>
      <c r="Q2" s="18">
        <f>GASTO_NE_T2</f>
        <v>14609888.58</v>
      </c>
      <c r="R2" s="18">
        <f>GASTO_NE_T3</f>
        <v>70282888.579999998</v>
      </c>
      <c r="S2" s="18">
        <f>GASTO_NE_T4</f>
        <v>58161151.490000002</v>
      </c>
      <c r="T2" s="18">
        <f>GASTO_NE_T5</f>
        <v>57682447.829999998</v>
      </c>
      <c r="U2" s="18">
        <f>GASTO_NE_T6</f>
        <v>12121737.089999998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39000000</v>
      </c>
      <c r="Q3" s="18">
        <f>GASTO_E_T2</f>
        <v>27159167.469999999</v>
      </c>
      <c r="R3" s="18">
        <f>GASTO_E_T3</f>
        <v>66159167.469999999</v>
      </c>
      <c r="S3" s="18">
        <f>GASTO_E_T4</f>
        <v>61659927.579999998</v>
      </c>
      <c r="T3" s="18">
        <f>GASTO_E_T5</f>
        <v>99244.79</v>
      </c>
      <c r="U3" s="18">
        <f>GASTO_E_T6</f>
        <v>4499239.8900000006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94673000</v>
      </c>
      <c r="Q4" s="18">
        <f>TOTAL_E_T2</f>
        <v>41769056.049999997</v>
      </c>
      <c r="R4" s="18">
        <f>TOTAL_E_T3</f>
        <v>136442056.05000001</v>
      </c>
      <c r="S4" s="18">
        <f>TOTAL_E_T4</f>
        <v>119821079.06999999</v>
      </c>
      <c r="T4" s="18">
        <f>TOTAL_E_T5</f>
        <v>57781692.619999997</v>
      </c>
      <c r="U4" s="18">
        <f>TOTAL_E_T6</f>
        <v>16620976.979999999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1" zoomScale="90" zoomScaleNormal="90" workbookViewId="0">
      <selection activeCell="B23" sqref="B2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7" t="s">
        <v>3289</v>
      </c>
      <c r="B1" s="178"/>
      <c r="C1" s="178"/>
      <c r="D1" s="178"/>
      <c r="E1" s="178"/>
      <c r="F1" s="178"/>
      <c r="G1" s="178"/>
    </row>
    <row r="2" spans="1:7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4"/>
    </row>
    <row r="3" spans="1:7" x14ac:dyDescent="0.25">
      <c r="A3" s="155" t="s">
        <v>396</v>
      </c>
      <c r="B3" s="156"/>
      <c r="C3" s="156"/>
      <c r="D3" s="156"/>
      <c r="E3" s="156"/>
      <c r="F3" s="156"/>
      <c r="G3" s="157"/>
    </row>
    <row r="4" spans="1:7" x14ac:dyDescent="0.25">
      <c r="A4" s="155" t="s">
        <v>397</v>
      </c>
      <c r="B4" s="156"/>
      <c r="C4" s="156"/>
      <c r="D4" s="156"/>
      <c r="E4" s="156"/>
      <c r="F4" s="156"/>
      <c r="G4" s="157"/>
    </row>
    <row r="5" spans="1:7" ht="14.25" x14ac:dyDescent="0.45">
      <c r="A5" s="158" t="str">
        <f>TRIMESTRE</f>
        <v>Del 1 de enero al 31 de diciembre de 2021 (b)</v>
      </c>
      <c r="B5" s="159"/>
      <c r="C5" s="159"/>
      <c r="D5" s="159"/>
      <c r="E5" s="159"/>
      <c r="F5" s="159"/>
      <c r="G5" s="160"/>
    </row>
    <row r="6" spans="1:7" ht="14.25" x14ac:dyDescent="0.45">
      <c r="A6" s="161" t="s">
        <v>118</v>
      </c>
      <c r="B6" s="162"/>
      <c r="C6" s="162"/>
      <c r="D6" s="162"/>
      <c r="E6" s="162"/>
      <c r="F6" s="162"/>
      <c r="G6" s="163"/>
    </row>
    <row r="7" spans="1:7" x14ac:dyDescent="0.25">
      <c r="A7" s="156" t="s">
        <v>0</v>
      </c>
      <c r="B7" s="161" t="s">
        <v>279</v>
      </c>
      <c r="C7" s="162"/>
      <c r="D7" s="162"/>
      <c r="E7" s="162"/>
      <c r="F7" s="163"/>
      <c r="G7" s="173" t="s">
        <v>3286</v>
      </c>
    </row>
    <row r="8" spans="1:7" ht="30.75" customHeight="1" x14ac:dyDescent="0.25">
      <c r="A8" s="156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2"/>
    </row>
    <row r="9" spans="1:7" ht="14.25" x14ac:dyDescent="0.45">
      <c r="A9" s="52" t="s">
        <v>363</v>
      </c>
      <c r="B9" s="70">
        <f>SUM(B10,B19,B27,B37)</f>
        <v>55673000</v>
      </c>
      <c r="C9" s="70">
        <f t="shared" ref="C9:G9" si="0">SUM(C10,C19,C27,C37)</f>
        <v>14609888.58</v>
      </c>
      <c r="D9" s="70">
        <f t="shared" si="0"/>
        <v>70282888.580000013</v>
      </c>
      <c r="E9" s="70">
        <f t="shared" si="0"/>
        <v>58161151.490000002</v>
      </c>
      <c r="F9" s="70">
        <f t="shared" si="0"/>
        <v>57682447.829999998</v>
      </c>
      <c r="G9" s="70">
        <f t="shared" si="0"/>
        <v>12121737.089999994</v>
      </c>
    </row>
    <row r="10" spans="1:7" x14ac:dyDescent="0.25">
      <c r="A10" s="53" t="s">
        <v>364</v>
      </c>
      <c r="B10" s="71">
        <f>SUM(B11:B18)</f>
        <v>33175335.52</v>
      </c>
      <c r="C10" s="71">
        <f t="shared" ref="C10:F10" si="1">SUM(C11:C18)</f>
        <v>8046554.2600000007</v>
      </c>
      <c r="D10" s="71">
        <f t="shared" si="1"/>
        <v>41221889.780000001</v>
      </c>
      <c r="E10" s="71">
        <f t="shared" si="1"/>
        <v>32758289.800000001</v>
      </c>
      <c r="F10" s="71">
        <f t="shared" si="1"/>
        <v>32598016</v>
      </c>
      <c r="G10" s="71">
        <f>SUM(G11:G18)</f>
        <v>8463599.9799999967</v>
      </c>
    </row>
    <row r="11" spans="1:7" x14ac:dyDescent="0.25">
      <c r="A11" s="63" t="s">
        <v>365</v>
      </c>
      <c r="B11" s="257">
        <v>6965877.6299999999</v>
      </c>
      <c r="C11" s="257">
        <v>324626.3</v>
      </c>
      <c r="D11" s="256">
        <v>7290503.9299999997</v>
      </c>
      <c r="E11" s="257">
        <v>6929682.79</v>
      </c>
      <c r="F11" s="257">
        <v>6929682.79</v>
      </c>
      <c r="G11" s="72">
        <f>D11-E11</f>
        <v>360821.13999999966</v>
      </c>
    </row>
    <row r="12" spans="1:7" ht="14.25" customHeight="1" x14ac:dyDescent="0.25">
      <c r="A12" s="63" t="s">
        <v>366</v>
      </c>
      <c r="B12" s="257">
        <v>0</v>
      </c>
      <c r="C12" s="257">
        <v>32233.55</v>
      </c>
      <c r="D12" s="256">
        <v>32233.55</v>
      </c>
      <c r="E12" s="257">
        <v>28031.58</v>
      </c>
      <c r="F12" s="257">
        <v>28031.58</v>
      </c>
      <c r="G12" s="72">
        <f t="shared" ref="G12:G18" si="2">D12-E12</f>
        <v>4201.9699999999975</v>
      </c>
    </row>
    <row r="13" spans="1:7" x14ac:dyDescent="0.25">
      <c r="A13" s="63" t="s">
        <v>367</v>
      </c>
      <c r="B13" s="257">
        <v>12815213.449999999</v>
      </c>
      <c r="C13" s="257">
        <v>2322916.66</v>
      </c>
      <c r="D13" s="256">
        <v>15138130.109999999</v>
      </c>
      <c r="E13" s="257">
        <v>14201739.51</v>
      </c>
      <c r="F13" s="257">
        <v>14127939.51</v>
      </c>
      <c r="G13" s="72">
        <f t="shared" si="2"/>
        <v>936390.59999999963</v>
      </c>
    </row>
    <row r="14" spans="1:7" ht="14.25" customHeight="1" x14ac:dyDescent="0.25">
      <c r="A14" s="63" t="s">
        <v>368</v>
      </c>
      <c r="B14" s="256"/>
      <c r="C14" s="256"/>
      <c r="D14" s="256">
        <v>0</v>
      </c>
      <c r="E14" s="256"/>
      <c r="F14" s="256"/>
      <c r="G14" s="72">
        <f t="shared" si="2"/>
        <v>0</v>
      </c>
    </row>
    <row r="15" spans="1:7" ht="14.25" customHeight="1" x14ac:dyDescent="0.25">
      <c r="A15" s="63" t="s">
        <v>369</v>
      </c>
      <c r="B15" s="257">
        <v>6914097.7699999996</v>
      </c>
      <c r="C15" s="257">
        <v>4142298.85</v>
      </c>
      <c r="D15" s="256">
        <v>11056396.619999999</v>
      </c>
      <c r="E15" s="257">
        <v>6068894.8200000003</v>
      </c>
      <c r="F15" s="257">
        <v>6058428.6200000001</v>
      </c>
      <c r="G15" s="72">
        <f t="shared" si="2"/>
        <v>4987501.7999999989</v>
      </c>
    </row>
    <row r="16" spans="1:7" ht="14.25" customHeight="1" x14ac:dyDescent="0.25">
      <c r="A16" s="63" t="s">
        <v>370</v>
      </c>
      <c r="B16" s="256"/>
      <c r="C16" s="256"/>
      <c r="D16" s="256">
        <v>0</v>
      </c>
      <c r="E16" s="256"/>
      <c r="F16" s="256"/>
      <c r="G16" s="72">
        <f t="shared" si="2"/>
        <v>0</v>
      </c>
    </row>
    <row r="17" spans="1:7" x14ac:dyDescent="0.25">
      <c r="A17" s="63" t="s">
        <v>371</v>
      </c>
      <c r="B17" s="257">
        <v>2453762.1</v>
      </c>
      <c r="C17" s="257">
        <v>336916.15</v>
      </c>
      <c r="D17" s="256">
        <v>2790678.25</v>
      </c>
      <c r="E17" s="257">
        <v>2016653.48</v>
      </c>
      <c r="F17" s="257">
        <v>1976245.88</v>
      </c>
      <c r="G17" s="72">
        <f t="shared" si="2"/>
        <v>774024.77</v>
      </c>
    </row>
    <row r="18" spans="1:7" ht="14.25" customHeight="1" x14ac:dyDescent="0.25">
      <c r="A18" s="63" t="s">
        <v>372</v>
      </c>
      <c r="B18" s="257">
        <v>4026384.57</v>
      </c>
      <c r="C18" s="257">
        <v>887562.75</v>
      </c>
      <c r="D18" s="256">
        <v>4913947.32</v>
      </c>
      <c r="E18" s="257">
        <v>3513287.62</v>
      </c>
      <c r="F18" s="257">
        <v>3477687.62</v>
      </c>
      <c r="G18" s="72">
        <f t="shared" si="2"/>
        <v>1400659.7000000002</v>
      </c>
    </row>
    <row r="19" spans="1:7" x14ac:dyDescent="0.25">
      <c r="A19" s="53" t="s">
        <v>373</v>
      </c>
      <c r="B19" s="219">
        <f>B20+B21+B22+B23+B24+B25+B26</f>
        <v>21221027.220000003</v>
      </c>
      <c r="C19" s="71">
        <f t="shared" ref="C19:F19" si="3">SUM(C20:C26)</f>
        <v>5855409.8999999994</v>
      </c>
      <c r="D19" s="71">
        <f t="shared" si="3"/>
        <v>27076437.120000001</v>
      </c>
      <c r="E19" s="71">
        <f t="shared" si="3"/>
        <v>23644697.960000001</v>
      </c>
      <c r="F19" s="71">
        <f t="shared" si="3"/>
        <v>23328511.100000001</v>
      </c>
      <c r="G19" s="71">
        <f>SUM(G20:G26)</f>
        <v>3431739.1599999983</v>
      </c>
    </row>
    <row r="20" spans="1:7" x14ac:dyDescent="0.25">
      <c r="A20" s="63" t="s">
        <v>374</v>
      </c>
      <c r="B20" s="259">
        <v>733632.3</v>
      </c>
      <c r="C20" s="259">
        <v>-9663.8799999999992</v>
      </c>
      <c r="D20" s="258">
        <v>723968.42</v>
      </c>
      <c r="E20" s="259">
        <v>626856.14</v>
      </c>
      <c r="F20" s="259">
        <v>626856.14</v>
      </c>
      <c r="G20" s="72">
        <f>D20-E20</f>
        <v>97112.280000000028</v>
      </c>
    </row>
    <row r="21" spans="1:7" x14ac:dyDescent="0.25">
      <c r="A21" s="63" t="s">
        <v>375</v>
      </c>
      <c r="B21" s="259">
        <v>13076184.34</v>
      </c>
      <c r="C21" s="259">
        <v>6552826.8099999996</v>
      </c>
      <c r="D21" s="258">
        <v>19629011.149999999</v>
      </c>
      <c r="E21" s="259">
        <v>17468969.77</v>
      </c>
      <c r="F21" s="259">
        <v>17169348.91</v>
      </c>
      <c r="G21" s="72">
        <f t="shared" ref="G21:G26" si="4">D21-E21</f>
        <v>2160041.379999999</v>
      </c>
    </row>
    <row r="22" spans="1:7" ht="14.25" customHeight="1" x14ac:dyDescent="0.25">
      <c r="A22" s="63" t="s">
        <v>376</v>
      </c>
      <c r="B22" s="259">
        <v>200000</v>
      </c>
      <c r="C22" s="259">
        <v>-22201.25</v>
      </c>
      <c r="D22" s="258">
        <v>177798.75</v>
      </c>
      <c r="E22" s="259">
        <v>13656</v>
      </c>
      <c r="F22" s="259">
        <v>13656</v>
      </c>
      <c r="G22" s="72">
        <f t="shared" si="4"/>
        <v>164142.75</v>
      </c>
    </row>
    <row r="23" spans="1:7" x14ac:dyDescent="0.25">
      <c r="A23" s="63" t="s">
        <v>377</v>
      </c>
      <c r="B23" s="259">
        <v>3830437.85</v>
      </c>
      <c r="C23" s="259">
        <v>-1048919.3</v>
      </c>
      <c r="D23" s="258">
        <v>2781518.55</v>
      </c>
      <c r="E23" s="259">
        <v>2227053.6800000002</v>
      </c>
      <c r="F23" s="259">
        <v>2216629.6800000002</v>
      </c>
      <c r="G23" s="72">
        <f t="shared" si="4"/>
        <v>554464.86999999965</v>
      </c>
    </row>
    <row r="24" spans="1:7" x14ac:dyDescent="0.25">
      <c r="A24" s="63" t="s">
        <v>378</v>
      </c>
      <c r="B24" s="259">
        <v>1517290.88</v>
      </c>
      <c r="C24" s="259">
        <v>37934.22</v>
      </c>
      <c r="D24" s="258">
        <v>1555225.0999999999</v>
      </c>
      <c r="E24" s="259">
        <v>1345864.19</v>
      </c>
      <c r="F24" s="259">
        <v>1343222.19</v>
      </c>
      <c r="G24" s="72">
        <f t="shared" si="4"/>
        <v>209360.90999999992</v>
      </c>
    </row>
    <row r="25" spans="1:7" x14ac:dyDescent="0.25">
      <c r="A25" s="63" t="s">
        <v>379</v>
      </c>
      <c r="B25" s="259">
        <v>1863481.85</v>
      </c>
      <c r="C25" s="259">
        <v>345433.3</v>
      </c>
      <c r="D25" s="258">
        <v>2208915.15</v>
      </c>
      <c r="E25" s="259">
        <v>1962298.18</v>
      </c>
      <c r="F25" s="259">
        <v>1958798.18</v>
      </c>
      <c r="G25" s="72">
        <f t="shared" si="4"/>
        <v>246616.96999999997</v>
      </c>
    </row>
    <row r="26" spans="1:7" ht="14.25" customHeight="1" x14ac:dyDescent="0.25">
      <c r="A26" s="63" t="s">
        <v>380</v>
      </c>
      <c r="B26" s="258"/>
      <c r="C26" s="258"/>
      <c r="D26" s="258">
        <v>0</v>
      </c>
      <c r="E26" s="258"/>
      <c r="F26" s="258"/>
      <c r="G26" s="72">
        <f t="shared" si="4"/>
        <v>0</v>
      </c>
    </row>
    <row r="27" spans="1:7" x14ac:dyDescent="0.25">
      <c r="A27" s="53" t="s">
        <v>381</v>
      </c>
      <c r="B27" s="71">
        <f>SUM(B28:B36)</f>
        <v>1276637.26</v>
      </c>
      <c r="C27" s="71">
        <f t="shared" ref="C27:F27" si="5">SUM(C28:C36)</f>
        <v>707924.41999999993</v>
      </c>
      <c r="D27" s="71">
        <f t="shared" si="5"/>
        <v>1984561.68</v>
      </c>
      <c r="E27" s="71">
        <f t="shared" si="5"/>
        <v>1758163.7300000002</v>
      </c>
      <c r="F27" s="71">
        <f t="shared" si="5"/>
        <v>1755920.7300000002</v>
      </c>
      <c r="G27" s="71">
        <f>SUM(G28:G36)</f>
        <v>226397.9499999999</v>
      </c>
    </row>
    <row r="28" spans="1:7" x14ac:dyDescent="0.25">
      <c r="A28" s="69" t="s">
        <v>382</v>
      </c>
      <c r="B28" s="261">
        <v>332720.25</v>
      </c>
      <c r="C28" s="261">
        <v>-69093.78</v>
      </c>
      <c r="D28" s="260">
        <v>263626.46999999997</v>
      </c>
      <c r="E28" s="261">
        <v>240902.37</v>
      </c>
      <c r="F28" s="261">
        <v>240902.37</v>
      </c>
      <c r="G28" s="72">
        <f>D28-E28</f>
        <v>22724.099999999977</v>
      </c>
    </row>
    <row r="29" spans="1:7" ht="14.25" customHeight="1" x14ac:dyDescent="0.25">
      <c r="A29" s="63" t="s">
        <v>383</v>
      </c>
      <c r="B29" s="261">
        <v>551767.63</v>
      </c>
      <c r="C29" s="261">
        <v>714525.61</v>
      </c>
      <c r="D29" s="260">
        <v>1266293.24</v>
      </c>
      <c r="E29" s="261">
        <v>1169900.56</v>
      </c>
      <c r="F29" s="261">
        <v>1169900.56</v>
      </c>
      <c r="G29" s="72">
        <f t="shared" ref="G29:G36" si="6">D29-E29</f>
        <v>96392.679999999935</v>
      </c>
    </row>
    <row r="30" spans="1:7" x14ac:dyDescent="0.25">
      <c r="A30" s="63" t="s">
        <v>384</v>
      </c>
      <c r="B30" s="260"/>
      <c r="C30" s="260"/>
      <c r="D30" s="260">
        <v>0</v>
      </c>
      <c r="E30" s="260"/>
      <c r="F30" s="260"/>
      <c r="G30" s="72">
        <f t="shared" si="6"/>
        <v>0</v>
      </c>
    </row>
    <row r="31" spans="1:7" x14ac:dyDescent="0.25">
      <c r="A31" s="63" t="s">
        <v>385</v>
      </c>
      <c r="B31" s="260"/>
      <c r="C31" s="260"/>
      <c r="D31" s="260">
        <v>0</v>
      </c>
      <c r="E31" s="260"/>
      <c r="F31" s="260"/>
      <c r="G31" s="72">
        <f t="shared" si="6"/>
        <v>0</v>
      </c>
    </row>
    <row r="32" spans="1:7" x14ac:dyDescent="0.25">
      <c r="A32" s="63" t="s">
        <v>386</v>
      </c>
      <c r="B32" s="260"/>
      <c r="C32" s="260"/>
      <c r="D32" s="260">
        <v>0</v>
      </c>
      <c r="E32" s="260"/>
      <c r="F32" s="260"/>
      <c r="G32" s="72">
        <f t="shared" si="6"/>
        <v>0</v>
      </c>
    </row>
    <row r="33" spans="1:7" x14ac:dyDescent="0.25">
      <c r="A33" s="63" t="s">
        <v>387</v>
      </c>
      <c r="B33" s="260"/>
      <c r="C33" s="260"/>
      <c r="D33" s="260">
        <v>0</v>
      </c>
      <c r="E33" s="260"/>
      <c r="F33" s="260"/>
      <c r="G33" s="72">
        <f t="shared" si="6"/>
        <v>0</v>
      </c>
    </row>
    <row r="34" spans="1:7" x14ac:dyDescent="0.25">
      <c r="A34" s="63" t="s">
        <v>388</v>
      </c>
      <c r="B34" s="261">
        <v>392149.38</v>
      </c>
      <c r="C34" s="261">
        <v>62492.59</v>
      </c>
      <c r="D34" s="260">
        <v>454641.97</v>
      </c>
      <c r="E34" s="261">
        <v>347360.8</v>
      </c>
      <c r="F34" s="261">
        <v>345117.8</v>
      </c>
      <c r="G34" s="72">
        <f t="shared" si="6"/>
        <v>107281.16999999998</v>
      </c>
    </row>
    <row r="35" spans="1:7" x14ac:dyDescent="0.25">
      <c r="A35" s="63" t="s">
        <v>389</v>
      </c>
      <c r="B35" s="260"/>
      <c r="C35" s="260"/>
      <c r="D35" s="260">
        <v>0</v>
      </c>
      <c r="E35" s="260"/>
      <c r="F35" s="260"/>
      <c r="G35" s="72">
        <f t="shared" si="6"/>
        <v>0</v>
      </c>
    </row>
    <row r="36" spans="1:7" x14ac:dyDescent="0.25">
      <c r="A36" s="63" t="s">
        <v>390</v>
      </c>
      <c r="B36" s="260"/>
      <c r="C36" s="260"/>
      <c r="D36" s="260">
        <v>0</v>
      </c>
      <c r="E36" s="260"/>
      <c r="F36" s="260"/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 t="shared" si="8"/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39000000</v>
      </c>
      <c r="C43" s="73">
        <f t="shared" ref="C43:G43" si="9">SUM(C44,C53,C61,C71)</f>
        <v>27159167.469999999</v>
      </c>
      <c r="D43" s="73">
        <f t="shared" si="9"/>
        <v>66159167.470000006</v>
      </c>
      <c r="E43" s="73">
        <f t="shared" si="9"/>
        <v>61659927.579999998</v>
      </c>
      <c r="F43" s="73">
        <f t="shared" si="9"/>
        <v>57859207.279999994</v>
      </c>
      <c r="G43" s="73">
        <f t="shared" si="9"/>
        <v>4499239.8900000025</v>
      </c>
    </row>
    <row r="44" spans="1:7" x14ac:dyDescent="0.25">
      <c r="A44" s="53" t="s">
        <v>430</v>
      </c>
      <c r="B44" s="72">
        <f>SUM(B45:B52)</f>
        <v>8856000</v>
      </c>
      <c r="C44" s="72">
        <f t="shared" ref="C44:G44" si="10">SUM(C45:C52)</f>
        <v>-593981.19000000006</v>
      </c>
      <c r="D44" s="72">
        <f t="shared" si="10"/>
        <v>8262018.8100000005</v>
      </c>
      <c r="E44" s="72">
        <f t="shared" si="10"/>
        <v>7143835.6900000004</v>
      </c>
      <c r="F44" s="72">
        <f t="shared" si="10"/>
        <v>7143835.6900000004</v>
      </c>
      <c r="G44" s="72">
        <f t="shared" si="10"/>
        <v>1118183.1199999996</v>
      </c>
    </row>
    <row r="45" spans="1:7" x14ac:dyDescent="0.25">
      <c r="A45" s="69" t="s">
        <v>365</v>
      </c>
      <c r="B45" s="262"/>
      <c r="C45" s="262"/>
      <c r="D45" s="262">
        <v>0</v>
      </c>
      <c r="E45" s="262"/>
      <c r="F45" s="262"/>
      <c r="G45" s="72">
        <f>D45-E45</f>
        <v>0</v>
      </c>
    </row>
    <row r="46" spans="1:7" x14ac:dyDescent="0.25">
      <c r="A46" s="69" t="s">
        <v>366</v>
      </c>
      <c r="B46" s="262"/>
      <c r="C46" s="262"/>
      <c r="D46" s="262">
        <v>0</v>
      </c>
      <c r="E46" s="262"/>
      <c r="F46" s="262"/>
      <c r="G46" s="72">
        <f t="shared" ref="G46:G52" si="11">D46-E46</f>
        <v>0</v>
      </c>
    </row>
    <row r="47" spans="1:7" x14ac:dyDescent="0.25">
      <c r="A47" s="69" t="s">
        <v>367</v>
      </c>
      <c r="B47" s="262"/>
      <c r="C47" s="262"/>
      <c r="D47" s="262">
        <v>0</v>
      </c>
      <c r="E47" s="262"/>
      <c r="F47" s="262"/>
      <c r="G47" s="72">
        <f t="shared" si="11"/>
        <v>0</v>
      </c>
    </row>
    <row r="48" spans="1:7" x14ac:dyDescent="0.25">
      <c r="A48" s="69" t="s">
        <v>368</v>
      </c>
      <c r="B48" s="262"/>
      <c r="C48" s="262"/>
      <c r="D48" s="262">
        <v>0</v>
      </c>
      <c r="E48" s="262"/>
      <c r="F48" s="262"/>
      <c r="G48" s="72">
        <f t="shared" si="11"/>
        <v>0</v>
      </c>
    </row>
    <row r="49" spans="1:7" x14ac:dyDescent="0.25">
      <c r="A49" s="69" t="s">
        <v>369</v>
      </c>
      <c r="B49" s="263">
        <v>799857.14</v>
      </c>
      <c r="C49" s="263">
        <v>-791005.16</v>
      </c>
      <c r="D49" s="262">
        <v>8851.9799999999814</v>
      </c>
      <c r="E49" s="263">
        <v>0</v>
      </c>
      <c r="F49" s="263">
        <v>0</v>
      </c>
      <c r="G49" s="72">
        <f t="shared" si="11"/>
        <v>8851.9799999999814</v>
      </c>
    </row>
    <row r="50" spans="1:7" x14ac:dyDescent="0.25">
      <c r="A50" s="69" t="s">
        <v>370</v>
      </c>
      <c r="B50" s="262"/>
      <c r="C50" s="262"/>
      <c r="D50" s="262">
        <v>0</v>
      </c>
      <c r="E50" s="262"/>
      <c r="F50" s="262"/>
      <c r="G50" s="72">
        <f t="shared" si="11"/>
        <v>0</v>
      </c>
    </row>
    <row r="51" spans="1:7" x14ac:dyDescent="0.25">
      <c r="A51" s="69" t="s">
        <v>371</v>
      </c>
      <c r="B51" s="263">
        <v>8056142.8600000003</v>
      </c>
      <c r="C51" s="263">
        <v>197023.97</v>
      </c>
      <c r="D51" s="262">
        <v>8253166.8300000001</v>
      </c>
      <c r="E51" s="263">
        <v>7143835.6900000004</v>
      </c>
      <c r="F51" s="263">
        <v>7143835.6900000004</v>
      </c>
      <c r="G51" s="72">
        <f t="shared" si="11"/>
        <v>1109331.1399999997</v>
      </c>
    </row>
    <row r="52" spans="1:7" x14ac:dyDescent="0.25">
      <c r="A52" s="69" t="s">
        <v>372</v>
      </c>
      <c r="B52" s="262"/>
      <c r="C52" s="262"/>
      <c r="D52" s="262">
        <v>0</v>
      </c>
      <c r="E52" s="262"/>
      <c r="F52" s="262"/>
      <c r="G52" s="72">
        <f t="shared" si="11"/>
        <v>0</v>
      </c>
    </row>
    <row r="53" spans="1:7" x14ac:dyDescent="0.25">
      <c r="A53" s="53" t="s">
        <v>373</v>
      </c>
      <c r="B53" s="71">
        <f>SUM(B54:B60)</f>
        <v>30144000</v>
      </c>
      <c r="C53" s="71">
        <f t="shared" ref="C53:G53" si="12">SUM(C54:C60)</f>
        <v>26908210.02</v>
      </c>
      <c r="D53" s="71">
        <f t="shared" si="12"/>
        <v>57052210.020000003</v>
      </c>
      <c r="E53" s="71">
        <f t="shared" si="12"/>
        <v>53671153.25</v>
      </c>
      <c r="F53" s="71">
        <f t="shared" si="12"/>
        <v>49870432.949999996</v>
      </c>
      <c r="G53" s="71">
        <f t="shared" si="12"/>
        <v>3381056.7700000033</v>
      </c>
    </row>
    <row r="54" spans="1:7" x14ac:dyDescent="0.25">
      <c r="A54" s="69" t="s">
        <v>374</v>
      </c>
      <c r="B54" s="264"/>
      <c r="C54" s="264"/>
      <c r="D54" s="264">
        <v>0</v>
      </c>
      <c r="E54" s="264"/>
      <c r="F54" s="264"/>
      <c r="G54" s="72">
        <f>D54-E54</f>
        <v>0</v>
      </c>
    </row>
    <row r="55" spans="1:7" x14ac:dyDescent="0.25">
      <c r="A55" s="69" t="s">
        <v>375</v>
      </c>
      <c r="B55" s="265">
        <v>30144000</v>
      </c>
      <c r="C55" s="265">
        <v>26808965.23</v>
      </c>
      <c r="D55" s="264">
        <v>56952965.230000004</v>
      </c>
      <c r="E55" s="265">
        <v>53571908.460000001</v>
      </c>
      <c r="F55" s="265">
        <v>49771188.159999996</v>
      </c>
      <c r="G55" s="72">
        <f t="shared" ref="G55:G60" si="13">D55-E55</f>
        <v>3381056.7700000033</v>
      </c>
    </row>
    <row r="56" spans="1:7" x14ac:dyDescent="0.25">
      <c r="A56" s="69" t="s">
        <v>376</v>
      </c>
      <c r="B56" s="264"/>
      <c r="C56" s="264"/>
      <c r="D56" s="264">
        <v>0</v>
      </c>
      <c r="E56" s="264"/>
      <c r="F56" s="264"/>
      <c r="G56" s="72">
        <f t="shared" si="13"/>
        <v>0</v>
      </c>
    </row>
    <row r="57" spans="1:7" x14ac:dyDescent="0.25">
      <c r="A57" s="48" t="s">
        <v>377</v>
      </c>
      <c r="B57" s="265">
        <v>0</v>
      </c>
      <c r="C57" s="265">
        <v>99244.79</v>
      </c>
      <c r="D57" s="264">
        <v>99244.79</v>
      </c>
      <c r="E57" s="265">
        <v>99244.79</v>
      </c>
      <c r="F57" s="265">
        <v>99244.79</v>
      </c>
      <c r="G57" s="72">
        <f t="shared" si="13"/>
        <v>0</v>
      </c>
    </row>
    <row r="58" spans="1:7" x14ac:dyDescent="0.25">
      <c r="A58" s="69" t="s">
        <v>378</v>
      </c>
      <c r="B58" s="264"/>
      <c r="C58" s="264"/>
      <c r="D58" s="264">
        <v>0</v>
      </c>
      <c r="E58" s="264"/>
      <c r="F58" s="264"/>
      <c r="G58" s="72">
        <f t="shared" si="13"/>
        <v>0</v>
      </c>
    </row>
    <row r="59" spans="1:7" x14ac:dyDescent="0.25">
      <c r="A59" s="69" t="s">
        <v>379</v>
      </c>
      <c r="B59" s="264"/>
      <c r="C59" s="264"/>
      <c r="D59" s="264">
        <v>0</v>
      </c>
      <c r="E59" s="264"/>
      <c r="F59" s="264"/>
      <c r="G59" s="72">
        <f t="shared" si="13"/>
        <v>0</v>
      </c>
    </row>
    <row r="60" spans="1:7" x14ac:dyDescent="0.25">
      <c r="A60" s="69" t="s">
        <v>380</v>
      </c>
      <c r="B60" s="264"/>
      <c r="C60" s="264"/>
      <c r="D60" s="264">
        <v>0</v>
      </c>
      <c r="E60" s="264"/>
      <c r="F60" s="264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844938.64</v>
      </c>
      <c r="D61" s="71">
        <f t="shared" si="14"/>
        <v>844938.64</v>
      </c>
      <c r="E61" s="71">
        <f t="shared" si="14"/>
        <v>844938.64</v>
      </c>
      <c r="F61" s="71">
        <f t="shared" si="14"/>
        <v>844938.64</v>
      </c>
      <c r="G61" s="71">
        <f t="shared" si="14"/>
        <v>0</v>
      </c>
    </row>
    <row r="62" spans="1:7" x14ac:dyDescent="0.25">
      <c r="A62" s="69" t="s">
        <v>382</v>
      </c>
      <c r="B62" s="266"/>
      <c r="C62" s="266"/>
      <c r="D62" s="266">
        <v>0</v>
      </c>
      <c r="E62" s="266"/>
      <c r="F62" s="266"/>
      <c r="G62" s="72">
        <f>D62-E62</f>
        <v>0</v>
      </c>
    </row>
    <row r="63" spans="1:7" x14ac:dyDescent="0.25">
      <c r="A63" s="69" t="s">
        <v>383</v>
      </c>
      <c r="B63" s="268">
        <v>0</v>
      </c>
      <c r="C63" s="268">
        <v>844938.64</v>
      </c>
      <c r="D63" s="266">
        <v>844938.64</v>
      </c>
      <c r="E63" s="268">
        <v>844938.64</v>
      </c>
      <c r="F63" s="268">
        <v>844938.64</v>
      </c>
      <c r="G63" s="72">
        <f t="shared" ref="G63:G70" si="15">D63-E63</f>
        <v>0</v>
      </c>
    </row>
    <row r="64" spans="1:7" x14ac:dyDescent="0.25">
      <c r="A64" s="69" t="s">
        <v>384</v>
      </c>
      <c r="B64" s="266"/>
      <c r="C64" s="266"/>
      <c r="D64" s="266">
        <v>0</v>
      </c>
      <c r="E64" s="266"/>
      <c r="F64" s="266"/>
      <c r="G64" s="72">
        <f t="shared" si="15"/>
        <v>0</v>
      </c>
    </row>
    <row r="65" spans="1:8" x14ac:dyDescent="0.25">
      <c r="A65" s="69" t="s">
        <v>385</v>
      </c>
      <c r="B65" s="266"/>
      <c r="C65" s="266"/>
      <c r="D65" s="266">
        <v>0</v>
      </c>
      <c r="E65" s="266"/>
      <c r="F65" s="266"/>
      <c r="G65" s="72">
        <f t="shared" si="15"/>
        <v>0</v>
      </c>
    </row>
    <row r="66" spans="1:8" x14ac:dyDescent="0.25">
      <c r="A66" s="69" t="s">
        <v>386</v>
      </c>
      <c r="B66" s="266"/>
      <c r="C66" s="266"/>
      <c r="D66" s="266">
        <v>0</v>
      </c>
      <c r="E66" s="266"/>
      <c r="F66" s="266"/>
      <c r="G66" s="72">
        <f t="shared" si="15"/>
        <v>0</v>
      </c>
    </row>
    <row r="67" spans="1:8" x14ac:dyDescent="0.25">
      <c r="A67" s="69" t="s">
        <v>387</v>
      </c>
      <c r="B67" s="266"/>
      <c r="C67" s="266"/>
      <c r="D67" s="266">
        <v>0</v>
      </c>
      <c r="E67" s="266"/>
      <c r="F67" s="266"/>
      <c r="G67" s="72">
        <f t="shared" si="15"/>
        <v>0</v>
      </c>
    </row>
    <row r="68" spans="1:8" x14ac:dyDescent="0.25">
      <c r="A68" s="69" t="s">
        <v>388</v>
      </c>
      <c r="B68" s="266"/>
      <c r="C68" s="266"/>
      <c r="D68" s="266">
        <v>0</v>
      </c>
      <c r="E68" s="266"/>
      <c r="F68" s="266"/>
      <c r="G68" s="72">
        <f t="shared" si="15"/>
        <v>0</v>
      </c>
    </row>
    <row r="69" spans="1:8" x14ac:dyDescent="0.25">
      <c r="A69" s="69" t="s">
        <v>389</v>
      </c>
      <c r="B69" s="266"/>
      <c r="C69" s="266"/>
      <c r="D69" s="266">
        <v>0</v>
      </c>
      <c r="E69" s="266"/>
      <c r="F69" s="266"/>
      <c r="G69" s="72">
        <f t="shared" si="15"/>
        <v>0</v>
      </c>
    </row>
    <row r="70" spans="1:8" x14ac:dyDescent="0.25">
      <c r="A70" s="69" t="s">
        <v>390</v>
      </c>
      <c r="B70" s="266"/>
      <c r="C70" s="266"/>
      <c r="D70" s="266">
        <v>0</v>
      </c>
      <c r="E70" s="266"/>
      <c r="F70" s="266"/>
      <c r="G70" s="72">
        <f t="shared" si="15"/>
        <v>0</v>
      </c>
    </row>
    <row r="71" spans="1:8" x14ac:dyDescent="0.25">
      <c r="A71" s="64" t="s">
        <v>3299</v>
      </c>
      <c r="B71" s="267">
        <v>0</v>
      </c>
      <c r="C71" s="267">
        <v>0</v>
      </c>
      <c r="D71" s="267">
        <v>0</v>
      </c>
      <c r="E71" s="267">
        <v>0</v>
      </c>
      <c r="F71" s="267"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6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6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6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94673000</v>
      </c>
      <c r="C77" s="73">
        <f t="shared" ref="C77:F77" si="17">C43+C9</f>
        <v>41769056.049999997</v>
      </c>
      <c r="D77" s="73">
        <f t="shared" si="17"/>
        <v>136442056.05000001</v>
      </c>
      <c r="E77" s="73">
        <f t="shared" si="17"/>
        <v>119821079.06999999</v>
      </c>
      <c r="F77" s="73">
        <f t="shared" si="17"/>
        <v>115541655.10999998</v>
      </c>
      <c r="G77" s="73">
        <f>G43+G9</f>
        <v>16620976.979999997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55673000</v>
      </c>
      <c r="Q2" s="18">
        <f>'Formato 6 c)'!C9</f>
        <v>14609888.58</v>
      </c>
      <c r="R2" s="18">
        <f>'Formato 6 c)'!D9</f>
        <v>70282888.580000013</v>
      </c>
      <c r="S2" s="18">
        <f>'Formato 6 c)'!E9</f>
        <v>58161151.490000002</v>
      </c>
      <c r="T2" s="18">
        <f>'Formato 6 c)'!F9</f>
        <v>57682447.829999998</v>
      </c>
      <c r="U2" s="18">
        <f>'Formato 6 c)'!G9</f>
        <v>12121737.089999994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33175335.52</v>
      </c>
      <c r="Q3" s="18">
        <f>'Formato 6 c)'!C10</f>
        <v>8046554.2600000007</v>
      </c>
      <c r="R3" s="18">
        <f>'Formato 6 c)'!D10</f>
        <v>41221889.780000001</v>
      </c>
      <c r="S3" s="18">
        <f>'Formato 6 c)'!E10</f>
        <v>32758289.800000001</v>
      </c>
      <c r="T3" s="18">
        <f>'Formato 6 c)'!F10</f>
        <v>32598016</v>
      </c>
      <c r="U3" s="18">
        <f>'Formato 6 c)'!G10</f>
        <v>8463599.9799999967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6965877.6299999999</v>
      </c>
      <c r="Q4" s="18">
        <f>'Formato 6 c)'!C11</f>
        <v>324626.3</v>
      </c>
      <c r="R4" s="18">
        <f>'Formato 6 c)'!D11</f>
        <v>7290503.9299999997</v>
      </c>
      <c r="S4" s="18">
        <f>'Formato 6 c)'!E11</f>
        <v>6929682.79</v>
      </c>
      <c r="T4" s="18">
        <f>'Formato 6 c)'!F11</f>
        <v>6929682.79</v>
      </c>
      <c r="U4" s="18">
        <f>'Formato 6 c)'!G11</f>
        <v>360821.13999999966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32233.55</v>
      </c>
      <c r="R5" s="18">
        <f>'Formato 6 c)'!D12</f>
        <v>32233.55</v>
      </c>
      <c r="S5" s="18">
        <f>'Formato 6 c)'!E12</f>
        <v>28031.58</v>
      </c>
      <c r="T5" s="18">
        <f>'Formato 6 c)'!F12</f>
        <v>28031.58</v>
      </c>
      <c r="U5" s="18">
        <f>'Formato 6 c)'!G12</f>
        <v>4201.9699999999975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12815213.449999999</v>
      </c>
      <c r="Q6" s="18">
        <f>'Formato 6 c)'!C13</f>
        <v>2322916.66</v>
      </c>
      <c r="R6" s="18">
        <f>'Formato 6 c)'!D13</f>
        <v>15138130.109999999</v>
      </c>
      <c r="S6" s="18">
        <f>'Formato 6 c)'!E13</f>
        <v>14201739.51</v>
      </c>
      <c r="T6" s="18">
        <f>'Formato 6 c)'!F13</f>
        <v>14127939.51</v>
      </c>
      <c r="U6" s="18">
        <f>'Formato 6 c)'!G13</f>
        <v>936390.59999999963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6914097.7699999996</v>
      </c>
      <c r="Q8" s="18">
        <f>'Formato 6 c)'!C15</f>
        <v>4142298.85</v>
      </c>
      <c r="R8" s="18">
        <f>'Formato 6 c)'!D15</f>
        <v>11056396.619999999</v>
      </c>
      <c r="S8" s="18">
        <f>'Formato 6 c)'!E15</f>
        <v>6068894.8200000003</v>
      </c>
      <c r="T8" s="18">
        <f>'Formato 6 c)'!F15</f>
        <v>6058428.6200000001</v>
      </c>
      <c r="U8" s="18">
        <f>'Formato 6 c)'!G15</f>
        <v>4987501.7999999989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2453762.1</v>
      </c>
      <c r="Q10" s="18">
        <f>'Formato 6 c)'!C17</f>
        <v>336916.15</v>
      </c>
      <c r="R10" s="18">
        <f>'Formato 6 c)'!D17</f>
        <v>2790678.25</v>
      </c>
      <c r="S10" s="18">
        <f>'Formato 6 c)'!E17</f>
        <v>2016653.48</v>
      </c>
      <c r="T10" s="18">
        <f>'Formato 6 c)'!F17</f>
        <v>1976245.88</v>
      </c>
      <c r="U10" s="18">
        <f>'Formato 6 c)'!G17</f>
        <v>774024.77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4026384.57</v>
      </c>
      <c r="Q11" s="18">
        <f>'Formato 6 c)'!C18</f>
        <v>887562.75</v>
      </c>
      <c r="R11" s="18">
        <f>'Formato 6 c)'!D18</f>
        <v>4913947.32</v>
      </c>
      <c r="S11" s="18">
        <f>'Formato 6 c)'!E18</f>
        <v>3513287.62</v>
      </c>
      <c r="T11" s="18">
        <f>'Formato 6 c)'!F18</f>
        <v>3477687.62</v>
      </c>
      <c r="U11" s="18">
        <f>'Formato 6 c)'!G18</f>
        <v>1400659.7000000002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21221027.220000003</v>
      </c>
      <c r="Q12" s="18">
        <f>'Formato 6 c)'!C19</f>
        <v>5855409.8999999994</v>
      </c>
      <c r="R12" s="18">
        <f>'Formato 6 c)'!D19</f>
        <v>27076437.120000001</v>
      </c>
      <c r="S12" s="18">
        <f>'Formato 6 c)'!E19</f>
        <v>23644697.960000001</v>
      </c>
      <c r="T12" s="18">
        <f>'Formato 6 c)'!F19</f>
        <v>23328511.100000001</v>
      </c>
      <c r="U12" s="18">
        <f>'Formato 6 c)'!G19</f>
        <v>3431739.1599999983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733632.3</v>
      </c>
      <c r="Q13" s="18">
        <f>'Formato 6 c)'!C20</f>
        <v>-9663.8799999999992</v>
      </c>
      <c r="R13" s="18">
        <f>'Formato 6 c)'!D20</f>
        <v>723968.42</v>
      </c>
      <c r="S13" s="18">
        <f>'Formato 6 c)'!E20</f>
        <v>626856.14</v>
      </c>
      <c r="T13" s="18">
        <f>'Formato 6 c)'!F20</f>
        <v>626856.14</v>
      </c>
      <c r="U13" s="18">
        <f>'Formato 6 c)'!G20</f>
        <v>97112.280000000028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13076184.34</v>
      </c>
      <c r="Q14" s="18">
        <f>'Formato 6 c)'!C21</f>
        <v>6552826.8099999996</v>
      </c>
      <c r="R14" s="18">
        <f>'Formato 6 c)'!D21</f>
        <v>19629011.149999999</v>
      </c>
      <c r="S14" s="18">
        <f>'Formato 6 c)'!E21</f>
        <v>17468969.77</v>
      </c>
      <c r="T14" s="18">
        <f>'Formato 6 c)'!F21</f>
        <v>17169348.91</v>
      </c>
      <c r="U14" s="18">
        <f>'Formato 6 c)'!G21</f>
        <v>2160041.379999999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200000</v>
      </c>
      <c r="Q15" s="18">
        <f>'Formato 6 c)'!C22</f>
        <v>-22201.25</v>
      </c>
      <c r="R15" s="18">
        <f>'Formato 6 c)'!D22</f>
        <v>177798.75</v>
      </c>
      <c r="S15" s="18">
        <f>'Formato 6 c)'!E22</f>
        <v>13656</v>
      </c>
      <c r="T15" s="18">
        <f>'Formato 6 c)'!F22</f>
        <v>13656</v>
      </c>
      <c r="U15" s="18">
        <f>'Formato 6 c)'!G22</f>
        <v>164142.75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3830437.85</v>
      </c>
      <c r="Q16" s="18">
        <f>'Formato 6 c)'!C23</f>
        <v>-1048919.3</v>
      </c>
      <c r="R16" s="18">
        <f>'Formato 6 c)'!D23</f>
        <v>2781518.55</v>
      </c>
      <c r="S16" s="18">
        <f>'Formato 6 c)'!E23</f>
        <v>2227053.6800000002</v>
      </c>
      <c r="T16" s="18">
        <f>'Formato 6 c)'!F23</f>
        <v>2216629.6800000002</v>
      </c>
      <c r="U16" s="18">
        <f>'Formato 6 c)'!G23</f>
        <v>554464.86999999965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1517290.88</v>
      </c>
      <c r="Q17" s="18">
        <f>'Formato 6 c)'!C24</f>
        <v>37934.22</v>
      </c>
      <c r="R17" s="18">
        <f>'Formato 6 c)'!D24</f>
        <v>1555225.0999999999</v>
      </c>
      <c r="S17" s="18">
        <f>'Formato 6 c)'!E24</f>
        <v>1345864.19</v>
      </c>
      <c r="T17" s="18">
        <f>'Formato 6 c)'!F24</f>
        <v>1343222.19</v>
      </c>
      <c r="U17" s="18">
        <f>'Formato 6 c)'!G24</f>
        <v>209360.90999999992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1863481.85</v>
      </c>
      <c r="Q18" s="18">
        <f>'Formato 6 c)'!C25</f>
        <v>345433.3</v>
      </c>
      <c r="R18" s="18">
        <f>'Formato 6 c)'!D25</f>
        <v>2208915.15</v>
      </c>
      <c r="S18" s="18">
        <f>'Formato 6 c)'!E25</f>
        <v>1962298.18</v>
      </c>
      <c r="T18" s="18">
        <f>'Formato 6 c)'!F25</f>
        <v>1958798.18</v>
      </c>
      <c r="U18" s="18">
        <f>'Formato 6 c)'!G25</f>
        <v>246616.96999999997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1276637.26</v>
      </c>
      <c r="Q20" s="18">
        <f>'Formato 6 c)'!C27</f>
        <v>707924.41999999993</v>
      </c>
      <c r="R20" s="18">
        <f>'Formato 6 c)'!D27</f>
        <v>1984561.68</v>
      </c>
      <c r="S20" s="18">
        <f>'Formato 6 c)'!E27</f>
        <v>1758163.7300000002</v>
      </c>
      <c r="T20" s="18">
        <f>'Formato 6 c)'!F27</f>
        <v>1755920.7300000002</v>
      </c>
      <c r="U20" s="18">
        <f>'Formato 6 c)'!G27</f>
        <v>226397.9499999999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332720.25</v>
      </c>
      <c r="Q21" s="18">
        <f>'Formato 6 c)'!C28</f>
        <v>-69093.78</v>
      </c>
      <c r="R21" s="18">
        <f>'Formato 6 c)'!D28</f>
        <v>263626.46999999997</v>
      </c>
      <c r="S21" s="18">
        <f>'Formato 6 c)'!E28</f>
        <v>240902.37</v>
      </c>
      <c r="T21" s="18">
        <f>'Formato 6 c)'!F28</f>
        <v>240902.37</v>
      </c>
      <c r="U21" s="18">
        <f>'Formato 6 c)'!G28</f>
        <v>22724.099999999977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551767.63</v>
      </c>
      <c r="Q22" s="18">
        <f>'Formato 6 c)'!C29</f>
        <v>714525.61</v>
      </c>
      <c r="R22" s="18">
        <f>'Formato 6 c)'!D29</f>
        <v>1266293.24</v>
      </c>
      <c r="S22" s="18">
        <f>'Formato 6 c)'!E29</f>
        <v>1169900.56</v>
      </c>
      <c r="T22" s="18">
        <f>'Formato 6 c)'!F29</f>
        <v>1169900.56</v>
      </c>
      <c r="U22" s="18">
        <f>'Formato 6 c)'!G29</f>
        <v>96392.679999999935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392149.38</v>
      </c>
      <c r="Q27" s="18">
        <f>'Formato 6 c)'!C34</f>
        <v>62492.59</v>
      </c>
      <c r="R27" s="18">
        <f>'Formato 6 c)'!D34</f>
        <v>454641.97</v>
      </c>
      <c r="S27" s="18">
        <f>'Formato 6 c)'!E34</f>
        <v>347360.8</v>
      </c>
      <c r="T27" s="18">
        <f>'Formato 6 c)'!F34</f>
        <v>345117.8</v>
      </c>
      <c r="U27" s="18">
        <f>'Formato 6 c)'!G34</f>
        <v>107281.16999999998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39000000</v>
      </c>
      <c r="Q35" s="18">
        <f>'Formato 6 c)'!C43</f>
        <v>27159167.469999999</v>
      </c>
      <c r="R35" s="18">
        <f>'Formato 6 c)'!D43</f>
        <v>66159167.470000006</v>
      </c>
      <c r="S35" s="18">
        <f>'Formato 6 c)'!E43</f>
        <v>61659927.579999998</v>
      </c>
      <c r="T35" s="18">
        <f>'Formato 6 c)'!F43</f>
        <v>57859207.279999994</v>
      </c>
      <c r="U35" s="18">
        <f>'Formato 6 c)'!G43</f>
        <v>4499239.8900000025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8856000</v>
      </c>
      <c r="Q36" s="18">
        <f>'Formato 6 c)'!C44</f>
        <v>-593981.19000000006</v>
      </c>
      <c r="R36" s="18">
        <f>'Formato 6 c)'!D44</f>
        <v>8262018.8100000005</v>
      </c>
      <c r="S36" s="18">
        <f>'Formato 6 c)'!E44</f>
        <v>7143835.6900000004</v>
      </c>
      <c r="T36" s="18">
        <f>'Formato 6 c)'!F44</f>
        <v>7143835.6900000004</v>
      </c>
      <c r="U36" s="18">
        <f>'Formato 6 c)'!G44</f>
        <v>1118183.1199999996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799857.14</v>
      </c>
      <c r="Q41" s="18">
        <f>'Formato 6 c)'!C49</f>
        <v>-791005.16</v>
      </c>
      <c r="R41" s="18">
        <f>'Formato 6 c)'!D49</f>
        <v>8851.9799999999814</v>
      </c>
      <c r="S41" s="18">
        <f>'Formato 6 c)'!E49</f>
        <v>0</v>
      </c>
      <c r="T41" s="18">
        <f>'Formato 6 c)'!F49</f>
        <v>0</v>
      </c>
      <c r="U41" s="18">
        <f>'Formato 6 c)'!G49</f>
        <v>8851.9799999999814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8056142.8600000003</v>
      </c>
      <c r="Q43" s="18">
        <f>'Formato 6 c)'!C51</f>
        <v>197023.97</v>
      </c>
      <c r="R43" s="18">
        <f>'Formato 6 c)'!D51</f>
        <v>8253166.8300000001</v>
      </c>
      <c r="S43" s="18">
        <f>'Formato 6 c)'!E51</f>
        <v>7143835.6900000004</v>
      </c>
      <c r="T43" s="18">
        <f>'Formato 6 c)'!F51</f>
        <v>7143835.6900000004</v>
      </c>
      <c r="U43" s="18">
        <f>'Formato 6 c)'!G51</f>
        <v>1109331.1399999997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30144000</v>
      </c>
      <c r="Q45" s="18">
        <f>'Formato 6 c)'!C53</f>
        <v>26908210.02</v>
      </c>
      <c r="R45" s="18">
        <f>'Formato 6 c)'!D53</f>
        <v>57052210.020000003</v>
      </c>
      <c r="S45" s="18">
        <f>'Formato 6 c)'!E53</f>
        <v>53671153.25</v>
      </c>
      <c r="T45" s="18">
        <f>'Formato 6 c)'!F53</f>
        <v>49870432.949999996</v>
      </c>
      <c r="U45" s="18">
        <f>'Formato 6 c)'!G53</f>
        <v>3381056.7700000033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30144000</v>
      </c>
      <c r="Q47" s="18">
        <f>'Formato 6 c)'!C55</f>
        <v>26808965.23</v>
      </c>
      <c r="R47" s="18">
        <f>'Formato 6 c)'!D55</f>
        <v>56952965.230000004</v>
      </c>
      <c r="S47" s="18">
        <f>'Formato 6 c)'!E55</f>
        <v>53571908.460000001</v>
      </c>
      <c r="T47" s="18">
        <f>'Formato 6 c)'!F55</f>
        <v>49771188.159999996</v>
      </c>
      <c r="U47" s="18">
        <f>'Formato 6 c)'!G55</f>
        <v>3381056.7700000033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99244.79</v>
      </c>
      <c r="R49" s="18">
        <f>'Formato 6 c)'!D57</f>
        <v>99244.79</v>
      </c>
      <c r="S49" s="18">
        <f>'Formato 6 c)'!E57</f>
        <v>99244.79</v>
      </c>
      <c r="T49" s="18">
        <f>'Formato 6 c)'!F57</f>
        <v>99244.79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844938.64</v>
      </c>
      <c r="R53" s="18">
        <f>'Formato 6 c)'!D61</f>
        <v>844938.64</v>
      </c>
      <c r="S53" s="18">
        <f>'Formato 6 c)'!E61</f>
        <v>844938.64</v>
      </c>
      <c r="T53" s="18">
        <f>'Formato 6 c)'!F61</f>
        <v>844938.64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844938.64</v>
      </c>
      <c r="R55" s="18">
        <f>'Formato 6 c)'!D63</f>
        <v>844938.64</v>
      </c>
      <c r="S55" s="18">
        <f>'Formato 6 c)'!E63</f>
        <v>844938.64</v>
      </c>
      <c r="T55" s="18">
        <f>'Formato 6 c)'!F63</f>
        <v>844938.64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94673000</v>
      </c>
      <c r="Q68" s="18">
        <f>'Formato 6 c)'!C77</f>
        <v>41769056.049999997</v>
      </c>
      <c r="R68" s="18">
        <f>'Formato 6 c)'!D77</f>
        <v>136442056.05000001</v>
      </c>
      <c r="S68" s="18">
        <f>'Formato 6 c)'!E77</f>
        <v>119821079.06999999</v>
      </c>
      <c r="T68" s="18">
        <f>'Formato 6 c)'!F77</f>
        <v>115541655.10999998</v>
      </c>
      <c r="U68" s="18">
        <f>'Formato 6 c)'!G77</f>
        <v>16620976.979999997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Tierra Blanca Guanajuato, Gobierno del Estado de Guanajuato</v>
      </c>
    </row>
    <row r="7" spans="2:3" ht="14.25" x14ac:dyDescent="0.45">
      <c r="C7" t="str">
        <f>CONCATENATE(ENTE_PUBLICO," (a)")</f>
        <v>Municipio de Tierra Blanca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2021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57" x14ac:dyDescent="0.45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ht="14.25" x14ac:dyDescent="0.45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25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B10" zoomScale="90" zoomScaleNormal="90" workbookViewId="0">
      <selection activeCell="F33" sqref="F3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1" t="s">
        <v>3287</v>
      </c>
      <c r="B1" s="170"/>
      <c r="C1" s="170"/>
      <c r="D1" s="170"/>
      <c r="E1" s="170"/>
      <c r="F1" s="170"/>
      <c r="G1" s="170"/>
    </row>
    <row r="2" spans="1:7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4"/>
    </row>
    <row r="3" spans="1:7" x14ac:dyDescent="0.25">
      <c r="A3" s="158" t="s">
        <v>277</v>
      </c>
      <c r="B3" s="159"/>
      <c r="C3" s="159"/>
      <c r="D3" s="159"/>
      <c r="E3" s="159"/>
      <c r="F3" s="159"/>
      <c r="G3" s="160"/>
    </row>
    <row r="4" spans="1:7" x14ac:dyDescent="0.25">
      <c r="A4" s="158" t="s">
        <v>399</v>
      </c>
      <c r="B4" s="159"/>
      <c r="C4" s="159"/>
      <c r="D4" s="159"/>
      <c r="E4" s="159"/>
      <c r="F4" s="159"/>
      <c r="G4" s="160"/>
    </row>
    <row r="5" spans="1:7" ht="14.25" x14ac:dyDescent="0.45">
      <c r="A5" s="158" t="str">
        <f>TRIMESTRE</f>
        <v>Del 1 de enero al 31 de diciembre de 2021 (b)</v>
      </c>
      <c r="B5" s="159"/>
      <c r="C5" s="159"/>
      <c r="D5" s="159"/>
      <c r="E5" s="159"/>
      <c r="F5" s="159"/>
      <c r="G5" s="160"/>
    </row>
    <row r="6" spans="1:7" ht="14.25" x14ac:dyDescent="0.45">
      <c r="A6" s="161" t="s">
        <v>118</v>
      </c>
      <c r="B6" s="162"/>
      <c r="C6" s="162"/>
      <c r="D6" s="162"/>
      <c r="E6" s="162"/>
      <c r="F6" s="162"/>
      <c r="G6" s="163"/>
    </row>
    <row r="7" spans="1:7" x14ac:dyDescent="0.25">
      <c r="A7" s="167" t="s">
        <v>361</v>
      </c>
      <c r="B7" s="172" t="s">
        <v>279</v>
      </c>
      <c r="C7" s="172"/>
      <c r="D7" s="172"/>
      <c r="E7" s="172"/>
      <c r="F7" s="172"/>
      <c r="G7" s="172" t="s">
        <v>280</v>
      </c>
    </row>
    <row r="8" spans="1:7" ht="29.25" customHeight="1" x14ac:dyDescent="0.25">
      <c r="A8" s="168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9"/>
    </row>
    <row r="9" spans="1:7" x14ac:dyDescent="0.25">
      <c r="A9" s="52" t="s">
        <v>400</v>
      </c>
      <c r="B9" s="66">
        <f>SUM(B10,B11,B12,B15,B16,B19)</f>
        <v>28811035.859999999</v>
      </c>
      <c r="C9" s="66">
        <f t="shared" ref="C9:F9" si="0">SUM(C10,C11,C12,C15,C16,C19)</f>
        <v>791189.44</v>
      </c>
      <c r="D9" s="66">
        <f t="shared" si="0"/>
        <v>29602225.300000001</v>
      </c>
      <c r="E9" s="66">
        <f t="shared" si="0"/>
        <v>26682804.289999999</v>
      </c>
      <c r="F9" s="66">
        <f t="shared" si="0"/>
        <v>26647804.289999999</v>
      </c>
      <c r="G9" s="66">
        <f>SUM(G10,G11,G12,G15,G16,G19)</f>
        <v>2919421.0100000016</v>
      </c>
    </row>
    <row r="10" spans="1:7" ht="14.25" customHeight="1" x14ac:dyDescent="0.25">
      <c r="A10" s="53" t="s">
        <v>401</v>
      </c>
      <c r="B10" s="270">
        <v>28811035.859999999</v>
      </c>
      <c r="C10" s="270">
        <v>791189.44</v>
      </c>
      <c r="D10" s="269">
        <v>29602225.300000001</v>
      </c>
      <c r="E10" s="270">
        <v>26682804.289999999</v>
      </c>
      <c r="F10" s="270">
        <v>26647804.289999999</v>
      </c>
      <c r="G10" s="67">
        <f>D10-E10</f>
        <v>2919421.0100000016</v>
      </c>
    </row>
    <row r="11" spans="1:7" ht="14.25" customHeight="1" x14ac:dyDescent="0.25">
      <c r="A11" s="53" t="s">
        <v>402</v>
      </c>
      <c r="B11" s="269"/>
      <c r="C11" s="269"/>
      <c r="D11" s="269">
        <v>0</v>
      </c>
      <c r="E11" s="269"/>
      <c r="F11" s="269"/>
      <c r="G11" s="67">
        <f>D11-E11</f>
        <v>0</v>
      </c>
    </row>
    <row r="12" spans="1:7" ht="14.25" customHeight="1" x14ac:dyDescent="0.25">
      <c r="A12" s="53" t="s">
        <v>403</v>
      </c>
      <c r="B12" s="269">
        <v>0</v>
      </c>
      <c r="C12" s="269">
        <v>0</v>
      </c>
      <c r="D12" s="269">
        <v>0</v>
      </c>
      <c r="E12" s="269">
        <v>0</v>
      </c>
      <c r="F12" s="269">
        <v>0</v>
      </c>
      <c r="G12" s="67">
        <f>G13+G14</f>
        <v>0</v>
      </c>
    </row>
    <row r="13" spans="1:7" ht="14.25" customHeight="1" x14ac:dyDescent="0.25">
      <c r="A13" s="63" t="s">
        <v>404</v>
      </c>
      <c r="B13" s="269"/>
      <c r="C13" s="269"/>
      <c r="D13" s="269">
        <v>0</v>
      </c>
      <c r="E13" s="269"/>
      <c r="F13" s="269"/>
      <c r="G13" s="67">
        <f>D13-E13</f>
        <v>0</v>
      </c>
    </row>
    <row r="14" spans="1:7" x14ac:dyDescent="0.25">
      <c r="A14" s="63" t="s">
        <v>405</v>
      </c>
      <c r="B14" s="269"/>
      <c r="C14" s="269"/>
      <c r="D14" s="269">
        <v>0</v>
      </c>
      <c r="E14" s="269"/>
      <c r="F14" s="269"/>
      <c r="G14" s="67">
        <f t="shared" ref="G14:G15" si="1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1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ht="14.25" x14ac:dyDescent="0.4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ht="14.25" x14ac:dyDescent="0.4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7086142.8600000003</v>
      </c>
      <c r="C21" s="66">
        <f t="shared" ref="C21:F21" si="3">SUM(C22,C23,C24,C27,C28,C31)</f>
        <v>69360.5</v>
      </c>
      <c r="D21" s="66">
        <f t="shared" si="3"/>
        <v>7155503.3600000003</v>
      </c>
      <c r="E21" s="66">
        <f t="shared" si="3"/>
        <v>6117675.3700000001</v>
      </c>
      <c r="F21" s="66">
        <f t="shared" si="3"/>
        <v>6117675.3700000001</v>
      </c>
      <c r="G21" s="66">
        <f>SUM(G22,G23,G24,G27,G28,G31)</f>
        <v>1037827.9900000002</v>
      </c>
    </row>
    <row r="22" spans="1:7" s="24" customFormat="1" ht="14.25" customHeight="1" x14ac:dyDescent="0.25">
      <c r="A22" s="53" t="s">
        <v>401</v>
      </c>
      <c r="B22" s="272">
        <v>7086142.8600000003</v>
      </c>
      <c r="C22" s="272">
        <v>69360.5</v>
      </c>
      <c r="D22" s="271">
        <v>7155503.3600000003</v>
      </c>
      <c r="E22" s="272">
        <v>6117675.3700000001</v>
      </c>
      <c r="F22" s="272">
        <v>6117675.3700000001</v>
      </c>
      <c r="G22" s="67">
        <f>D22-E22</f>
        <v>1037827.9900000002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4">C25+C26</f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5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5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6">C29+C30</f>
        <v>0</v>
      </c>
      <c r="D28" s="67">
        <f t="shared" si="6"/>
        <v>0</v>
      </c>
      <c r="E28" s="67">
        <f t="shared" si="6"/>
        <v>0</v>
      </c>
      <c r="F28" s="67">
        <f t="shared" si="6"/>
        <v>0</v>
      </c>
      <c r="G28" s="67">
        <f t="shared" si="6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7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7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35897178.719999999</v>
      </c>
      <c r="C33" s="66">
        <f t="shared" ref="C33:G33" si="8">C21+C9</f>
        <v>860549.94</v>
      </c>
      <c r="D33" s="66">
        <f t="shared" si="8"/>
        <v>36757728.660000004</v>
      </c>
      <c r="E33" s="66">
        <f t="shared" si="8"/>
        <v>32800479.66</v>
      </c>
      <c r="F33" s="66">
        <f t="shared" si="8"/>
        <v>32765479.66</v>
      </c>
      <c r="G33" s="66">
        <f t="shared" si="8"/>
        <v>3957249.0000000019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28811035.859999999</v>
      </c>
      <c r="Q2" s="18">
        <f>'Formato 6 d)'!C9</f>
        <v>791189.44</v>
      </c>
      <c r="R2" s="18">
        <f>'Formato 6 d)'!D9</f>
        <v>29602225.300000001</v>
      </c>
      <c r="S2" s="18">
        <f>'Formato 6 d)'!E9</f>
        <v>26682804.289999999</v>
      </c>
      <c r="T2" s="18">
        <f>'Formato 6 d)'!F9</f>
        <v>26647804.289999999</v>
      </c>
      <c r="U2" s="18">
        <f>'Formato 6 d)'!G9</f>
        <v>2919421.0100000016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28811035.859999999</v>
      </c>
      <c r="Q3" s="18">
        <f>'Formato 6 d)'!C10</f>
        <v>791189.44</v>
      </c>
      <c r="R3" s="18">
        <f>'Formato 6 d)'!D10</f>
        <v>29602225.300000001</v>
      </c>
      <c r="S3" s="18">
        <f>'Formato 6 d)'!E10</f>
        <v>26682804.289999999</v>
      </c>
      <c r="T3" s="18">
        <f>'Formato 6 d)'!F10</f>
        <v>26647804.289999999</v>
      </c>
      <c r="U3" s="18">
        <f>'Formato 6 d)'!G10</f>
        <v>2919421.0100000016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7086142.8600000003</v>
      </c>
      <c r="Q13" s="18">
        <f>'Formato 6 d)'!C21</f>
        <v>69360.5</v>
      </c>
      <c r="R13" s="18">
        <f>'Formato 6 d)'!D21</f>
        <v>7155503.3600000003</v>
      </c>
      <c r="S13" s="18">
        <f>'Formato 6 d)'!E21</f>
        <v>6117675.3700000001</v>
      </c>
      <c r="T13" s="18">
        <f>'Formato 6 d)'!F21</f>
        <v>6117675.3700000001</v>
      </c>
      <c r="U13" s="18">
        <f>'Formato 6 d)'!G21</f>
        <v>1037827.9900000002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7086142.8600000003</v>
      </c>
      <c r="Q14" s="18">
        <f>'Formato 6 d)'!C22</f>
        <v>69360.5</v>
      </c>
      <c r="R14" s="18">
        <f>'Formato 6 d)'!D22</f>
        <v>7155503.3600000003</v>
      </c>
      <c r="S14" s="18">
        <f>'Formato 6 d)'!E22</f>
        <v>6117675.3700000001</v>
      </c>
      <c r="T14" s="18">
        <f>'Formato 6 d)'!F22</f>
        <v>6117675.3700000001</v>
      </c>
      <c r="U14" s="18">
        <f>'Formato 6 d)'!G22</f>
        <v>1037827.9900000002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35897178.719999999</v>
      </c>
      <c r="Q24" s="18">
        <f>'Formato 6 d)'!C33</f>
        <v>860549.94</v>
      </c>
      <c r="R24" s="18">
        <f>'Formato 6 d)'!D33</f>
        <v>36757728.660000004</v>
      </c>
      <c r="S24" s="18">
        <f>'Formato 6 d)'!E33</f>
        <v>32800479.66</v>
      </c>
      <c r="T24" s="18">
        <f>'Formato 6 d)'!F33</f>
        <v>32765479.66</v>
      </c>
      <c r="U24" s="18">
        <f>'Formato 6 d)'!G33</f>
        <v>3957249.0000000019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0" t="s">
        <v>413</v>
      </c>
      <c r="B1" s="170"/>
      <c r="C1" s="170"/>
      <c r="D1" s="170"/>
      <c r="E1" s="170"/>
      <c r="F1" s="170"/>
      <c r="G1" s="170"/>
    </row>
    <row r="2" spans="1:7" ht="14.25" x14ac:dyDescent="0.45">
      <c r="A2" s="152" t="str">
        <f>ENTIDAD</f>
        <v>Municipio de Tierra Blanca, Gobierno del Estado de Guanajuato</v>
      </c>
      <c r="B2" s="153"/>
      <c r="C2" s="153"/>
      <c r="D2" s="153"/>
      <c r="E2" s="153"/>
      <c r="F2" s="153"/>
      <c r="G2" s="154"/>
    </row>
    <row r="3" spans="1:7" ht="14.25" x14ac:dyDescent="0.45">
      <c r="A3" s="155" t="s">
        <v>414</v>
      </c>
      <c r="B3" s="156"/>
      <c r="C3" s="156"/>
      <c r="D3" s="156"/>
      <c r="E3" s="156"/>
      <c r="F3" s="156"/>
      <c r="G3" s="157"/>
    </row>
    <row r="4" spans="1:7" ht="14.25" x14ac:dyDescent="0.45">
      <c r="A4" s="155" t="s">
        <v>118</v>
      </c>
      <c r="B4" s="156"/>
      <c r="C4" s="156"/>
      <c r="D4" s="156"/>
      <c r="E4" s="156"/>
      <c r="F4" s="156"/>
      <c r="G4" s="157"/>
    </row>
    <row r="5" spans="1:7" ht="14.25" x14ac:dyDescent="0.45">
      <c r="A5" s="155" t="s">
        <v>415</v>
      </c>
      <c r="B5" s="156"/>
      <c r="C5" s="156"/>
      <c r="D5" s="156"/>
      <c r="E5" s="156"/>
      <c r="F5" s="156"/>
      <c r="G5" s="157"/>
    </row>
    <row r="6" spans="1:7" x14ac:dyDescent="0.25">
      <c r="A6" s="167" t="s">
        <v>3288</v>
      </c>
      <c r="B6" s="51">
        <f>ANIO1P</f>
        <v>2022</v>
      </c>
      <c r="C6" s="180" t="str">
        <f>ANIO2P</f>
        <v>2023 (d)</v>
      </c>
      <c r="D6" s="180" t="str">
        <f>ANIO3P</f>
        <v>2024 (d)</v>
      </c>
      <c r="E6" s="180" t="str">
        <f>ANIO4P</f>
        <v>2025 (d)</v>
      </c>
      <c r="F6" s="180" t="str">
        <f>ANIO5P</f>
        <v>2026 (d)</v>
      </c>
      <c r="G6" s="180" t="str">
        <f>ANIO6P</f>
        <v>2027 (d)</v>
      </c>
    </row>
    <row r="7" spans="1:7" ht="48" customHeight="1" x14ac:dyDescent="0.25">
      <c r="A7" s="168"/>
      <c r="B7" s="88" t="s">
        <v>3291</v>
      </c>
      <c r="C7" s="181"/>
      <c r="D7" s="181"/>
      <c r="E7" s="181"/>
      <c r="F7" s="181"/>
      <c r="G7" s="181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0" t="s">
        <v>451</v>
      </c>
      <c r="B1" s="170"/>
      <c r="C1" s="170"/>
      <c r="D1" s="170"/>
      <c r="E1" s="170"/>
      <c r="F1" s="170"/>
      <c r="G1" s="170"/>
    </row>
    <row r="2" spans="1:7" customFormat="1" ht="14.25" x14ac:dyDescent="0.45">
      <c r="A2" s="152" t="str">
        <f>ENTIDAD</f>
        <v>Municipio de Tierra Blanca, Gobierno del Estado de Guanajuato</v>
      </c>
      <c r="B2" s="153"/>
      <c r="C2" s="153"/>
      <c r="D2" s="153"/>
      <c r="E2" s="153"/>
      <c r="F2" s="153"/>
      <c r="G2" s="154"/>
    </row>
    <row r="3" spans="1:7" customFormat="1" ht="14.25" x14ac:dyDescent="0.45">
      <c r="A3" s="155" t="s">
        <v>452</v>
      </c>
      <c r="B3" s="156"/>
      <c r="C3" s="156"/>
      <c r="D3" s="156"/>
      <c r="E3" s="156"/>
      <c r="F3" s="156"/>
      <c r="G3" s="157"/>
    </row>
    <row r="4" spans="1:7" customFormat="1" ht="14.25" x14ac:dyDescent="0.45">
      <c r="A4" s="155" t="s">
        <v>118</v>
      </c>
      <c r="B4" s="156"/>
      <c r="C4" s="156"/>
      <c r="D4" s="156"/>
      <c r="E4" s="156"/>
      <c r="F4" s="156"/>
      <c r="G4" s="157"/>
    </row>
    <row r="5" spans="1:7" customFormat="1" ht="14.25" x14ac:dyDescent="0.45">
      <c r="A5" s="155" t="s">
        <v>415</v>
      </c>
      <c r="B5" s="156"/>
      <c r="C5" s="156"/>
      <c r="D5" s="156"/>
      <c r="E5" s="156"/>
      <c r="F5" s="156"/>
      <c r="G5" s="157"/>
    </row>
    <row r="6" spans="1:7" customFormat="1" x14ac:dyDescent="0.25">
      <c r="A6" s="182" t="s">
        <v>3142</v>
      </c>
      <c r="B6" s="51">
        <f>ANIO1P</f>
        <v>2022</v>
      </c>
      <c r="C6" s="180" t="str">
        <f>ANIO2P</f>
        <v>2023 (d)</v>
      </c>
      <c r="D6" s="180" t="str">
        <f>ANIO3P</f>
        <v>2024 (d)</v>
      </c>
      <c r="E6" s="180" t="str">
        <f>ANIO4P</f>
        <v>2025 (d)</v>
      </c>
      <c r="F6" s="180" t="str">
        <f>ANIO5P</f>
        <v>2026 (d)</v>
      </c>
      <c r="G6" s="180" t="str">
        <f>ANIO6P</f>
        <v>2027 (d)</v>
      </c>
    </row>
    <row r="7" spans="1:7" customFormat="1" ht="48" customHeight="1" x14ac:dyDescent="0.25">
      <c r="A7" s="183"/>
      <c r="B7" s="88" t="s">
        <v>3291</v>
      </c>
      <c r="C7" s="181"/>
      <c r="D7" s="181"/>
      <c r="E7" s="181"/>
      <c r="F7" s="181"/>
      <c r="G7" s="181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0" t="s">
        <v>466</v>
      </c>
      <c r="B1" s="170"/>
      <c r="C1" s="170"/>
      <c r="D1" s="170"/>
      <c r="E1" s="170"/>
      <c r="F1" s="170"/>
      <c r="G1" s="170"/>
    </row>
    <row r="2" spans="1:7" ht="14.25" x14ac:dyDescent="0.45">
      <c r="A2" s="152" t="str">
        <f>ENTIDAD</f>
        <v>Municipio de Tierra Blanca, Gobierno del Estado de Guanajuato</v>
      </c>
      <c r="B2" s="153"/>
      <c r="C2" s="153"/>
      <c r="D2" s="153"/>
      <c r="E2" s="153"/>
      <c r="F2" s="153"/>
      <c r="G2" s="154"/>
    </row>
    <row r="3" spans="1:7" ht="14.25" x14ac:dyDescent="0.45">
      <c r="A3" s="155" t="s">
        <v>467</v>
      </c>
      <c r="B3" s="156"/>
      <c r="C3" s="156"/>
      <c r="D3" s="156"/>
      <c r="E3" s="156"/>
      <c r="F3" s="156"/>
      <c r="G3" s="157"/>
    </row>
    <row r="4" spans="1:7" ht="14.25" x14ac:dyDescent="0.45">
      <c r="A4" s="161" t="s">
        <v>118</v>
      </c>
      <c r="B4" s="162"/>
      <c r="C4" s="162"/>
      <c r="D4" s="162"/>
      <c r="E4" s="162"/>
      <c r="F4" s="162"/>
      <c r="G4" s="163"/>
    </row>
    <row r="5" spans="1:7" x14ac:dyDescent="0.25">
      <c r="A5" s="187" t="s">
        <v>3288</v>
      </c>
      <c r="B5" s="185" t="str">
        <f>ANIO5R</f>
        <v>2016 ¹ (c)</v>
      </c>
      <c r="C5" s="185" t="str">
        <f>ANIO4R</f>
        <v>2017 ¹ (c)</v>
      </c>
      <c r="D5" s="185" t="str">
        <f>ANIO3R</f>
        <v>2018 ¹ (c)</v>
      </c>
      <c r="E5" s="185" t="str">
        <f>ANIO2R</f>
        <v>2019 ¹ (c)</v>
      </c>
      <c r="F5" s="185" t="str">
        <f>ANIO1R</f>
        <v>2020 ¹ (c)</v>
      </c>
      <c r="G5" s="51">
        <f>ANIO_INFORME</f>
        <v>2021</v>
      </c>
    </row>
    <row r="6" spans="1:7" ht="32.1" customHeight="1" x14ac:dyDescent="0.25">
      <c r="A6" s="188"/>
      <c r="B6" s="186"/>
      <c r="C6" s="186"/>
      <c r="D6" s="186"/>
      <c r="E6" s="186"/>
      <c r="F6" s="186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4" t="s">
        <v>3292</v>
      </c>
      <c r="B39" s="184"/>
      <c r="C39" s="184"/>
      <c r="D39" s="184"/>
      <c r="E39" s="184"/>
      <c r="F39" s="184"/>
      <c r="G39" s="184"/>
    </row>
    <row r="40" spans="1:7" ht="15" customHeight="1" x14ac:dyDescent="0.25">
      <c r="A40" s="184" t="s">
        <v>3293</v>
      </c>
      <c r="B40" s="184"/>
      <c r="C40" s="184"/>
      <c r="D40" s="184"/>
      <c r="E40" s="184"/>
      <c r="F40" s="184"/>
      <c r="G40" s="184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0" t="s">
        <v>490</v>
      </c>
      <c r="B1" s="170"/>
      <c r="C1" s="170"/>
      <c r="D1" s="170"/>
      <c r="E1" s="170"/>
      <c r="F1" s="170"/>
      <c r="G1" s="170"/>
    </row>
    <row r="2" spans="1:7" ht="14.25" x14ac:dyDescent="0.45">
      <c r="A2" s="152" t="str">
        <f>ENTIDAD</f>
        <v>Municipio de Tierra Blanca, Gobierno del Estado de Guanajuato</v>
      </c>
      <c r="B2" s="153"/>
      <c r="C2" s="153"/>
      <c r="D2" s="153"/>
      <c r="E2" s="153"/>
      <c r="F2" s="153"/>
      <c r="G2" s="154"/>
    </row>
    <row r="3" spans="1:7" ht="14.25" x14ac:dyDescent="0.45">
      <c r="A3" s="155" t="s">
        <v>491</v>
      </c>
      <c r="B3" s="156"/>
      <c r="C3" s="156"/>
      <c r="D3" s="156"/>
      <c r="E3" s="156"/>
      <c r="F3" s="156"/>
      <c r="G3" s="157"/>
    </row>
    <row r="4" spans="1:7" ht="14.25" x14ac:dyDescent="0.45">
      <c r="A4" s="161" t="s">
        <v>118</v>
      </c>
      <c r="B4" s="162"/>
      <c r="C4" s="162"/>
      <c r="D4" s="162"/>
      <c r="E4" s="162"/>
      <c r="F4" s="162"/>
      <c r="G4" s="163"/>
    </row>
    <row r="5" spans="1:7" x14ac:dyDescent="0.25">
      <c r="A5" s="189" t="s">
        <v>3142</v>
      </c>
      <c r="B5" s="185" t="str">
        <f>ANIO5R</f>
        <v>2016 ¹ (c)</v>
      </c>
      <c r="C5" s="185" t="str">
        <f>ANIO4R</f>
        <v>2017 ¹ (c)</v>
      </c>
      <c r="D5" s="185" t="str">
        <f>ANIO3R</f>
        <v>2018 ¹ (c)</v>
      </c>
      <c r="E5" s="185" t="str">
        <f>ANIO2R</f>
        <v>2019 ¹ (c)</v>
      </c>
      <c r="F5" s="185" t="str">
        <f>ANIO1R</f>
        <v>2020 ¹ (c)</v>
      </c>
      <c r="G5" s="51">
        <f>ANIO_INFORME</f>
        <v>2021</v>
      </c>
    </row>
    <row r="6" spans="1:7" ht="32.1" customHeight="1" x14ac:dyDescent="0.25">
      <c r="A6" s="190"/>
      <c r="B6" s="186"/>
      <c r="C6" s="186"/>
      <c r="D6" s="186"/>
      <c r="E6" s="186"/>
      <c r="F6" s="186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4" t="s">
        <v>3292</v>
      </c>
      <c r="B32" s="184"/>
      <c r="C32" s="184"/>
      <c r="D32" s="184"/>
      <c r="E32" s="184"/>
      <c r="F32" s="184"/>
      <c r="G32" s="184"/>
    </row>
    <row r="33" spans="1:7" x14ac:dyDescent="0.25">
      <c r="A33" s="184" t="s">
        <v>3293</v>
      </c>
      <c r="B33" s="184"/>
      <c r="C33" s="184"/>
      <c r="D33" s="184"/>
      <c r="E33" s="184"/>
      <c r="F33" s="184"/>
      <c r="G33" s="184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4" t="s">
        <v>495</v>
      </c>
      <c r="B1" s="164"/>
      <c r="C1" s="164"/>
      <c r="D1" s="164"/>
      <c r="E1" s="164"/>
      <c r="F1" s="164"/>
      <c r="G1" s="111"/>
    </row>
    <row r="2" spans="1:7" ht="14.25" x14ac:dyDescent="0.45">
      <c r="A2" s="152" t="str">
        <f>ENTE_PUBLICO</f>
        <v>Municipio de Tierra Blanca Guanajuato, Gobierno del Estado de Guanajuato</v>
      </c>
      <c r="B2" s="153"/>
      <c r="C2" s="153"/>
      <c r="D2" s="153"/>
      <c r="E2" s="153"/>
      <c r="F2" s="154"/>
    </row>
    <row r="3" spans="1:7" ht="14.25" x14ac:dyDescent="0.45">
      <c r="A3" s="161" t="s">
        <v>496</v>
      </c>
      <c r="B3" s="162"/>
      <c r="C3" s="162"/>
      <c r="D3" s="162"/>
      <c r="E3" s="162"/>
      <c r="F3" s="163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ht="14.25" x14ac:dyDescent="0.45">
      <c r="A27" s="135" t="s">
        <v>519</v>
      </c>
      <c r="B27" s="54"/>
      <c r="C27" s="54"/>
      <c r="D27" s="54"/>
      <c r="E27" s="54"/>
      <c r="F27" s="54"/>
    </row>
    <row r="28" spans="1:6" ht="14.25" x14ac:dyDescent="0.45">
      <c r="A28" s="136" t="s">
        <v>520</v>
      </c>
      <c r="B28" s="60"/>
      <c r="C28" s="60"/>
      <c r="D28" s="60"/>
      <c r="E28" s="60"/>
      <c r="F28" s="60"/>
    </row>
    <row r="29" spans="1:6" ht="14.25" x14ac:dyDescent="0.4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67" zoomScale="90" zoomScaleNormal="90" workbookViewId="0">
      <selection activeCell="D16" sqref="D16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4" t="s">
        <v>545</v>
      </c>
      <c r="B1" s="164"/>
      <c r="C1" s="164"/>
      <c r="D1" s="164"/>
      <c r="E1" s="164"/>
      <c r="F1" s="164"/>
    </row>
    <row r="2" spans="1:6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4"/>
    </row>
    <row r="3" spans="1:6" x14ac:dyDescent="0.25">
      <c r="A3" s="155" t="s">
        <v>117</v>
      </c>
      <c r="B3" s="156"/>
      <c r="C3" s="156"/>
      <c r="D3" s="156"/>
      <c r="E3" s="156"/>
      <c r="F3" s="157"/>
    </row>
    <row r="4" spans="1:6" ht="14.25" x14ac:dyDescent="0.45">
      <c r="A4" s="158" t="str">
        <f>PERIODO_INFORME</f>
        <v>Al 31 de diciembre de 2020 y al 31 de diciembre de 2021 (b)</v>
      </c>
      <c r="B4" s="159"/>
      <c r="C4" s="159"/>
      <c r="D4" s="159"/>
      <c r="E4" s="159"/>
      <c r="F4" s="160"/>
    </row>
    <row r="5" spans="1:6" ht="14.25" x14ac:dyDescent="0.45">
      <c r="A5" s="161" t="s">
        <v>118</v>
      </c>
      <c r="B5" s="162"/>
      <c r="C5" s="162"/>
      <c r="D5" s="162"/>
      <c r="E5" s="162"/>
      <c r="F5" s="163"/>
    </row>
    <row r="6" spans="1:6" s="3" customFormat="1" ht="28.5" x14ac:dyDescent="0.45">
      <c r="A6" s="132" t="s">
        <v>3284</v>
      </c>
      <c r="B6" s="133" t="str">
        <f>ANIO</f>
        <v>2021 (d)</v>
      </c>
      <c r="C6" s="130" t="str">
        <f>ULTIMO</f>
        <v>31 de diciembre de 2020 (e)</v>
      </c>
      <c r="D6" s="134" t="s">
        <v>0</v>
      </c>
      <c r="E6" s="133" t="str">
        <f>ANIO</f>
        <v>2021 (d)</v>
      </c>
      <c r="F6" s="130" t="str">
        <f>ULTIMO</f>
        <v>31 de diciembre de 2020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17676484.77</v>
      </c>
      <c r="C9" s="60">
        <f>SUM(C10:C16)</f>
        <v>22135041.379999999</v>
      </c>
      <c r="D9" s="100" t="s">
        <v>54</v>
      </c>
      <c r="E9" s="60">
        <f>SUM(E10:E18)</f>
        <v>6850826.0999999996</v>
      </c>
      <c r="F9" s="60">
        <f>SUM(F10:F18)</f>
        <v>9407542.0500000007</v>
      </c>
    </row>
    <row r="10" spans="1:6" x14ac:dyDescent="0.25">
      <c r="A10" s="96" t="s">
        <v>4</v>
      </c>
      <c r="B10" s="60"/>
      <c r="C10" s="60"/>
      <c r="D10" s="101" t="s">
        <v>55</v>
      </c>
      <c r="E10" s="60">
        <v>-45469.73</v>
      </c>
      <c r="F10" s="60">
        <v>2328546.64</v>
      </c>
    </row>
    <row r="11" spans="1:6" x14ac:dyDescent="0.25">
      <c r="A11" s="96" t="s">
        <v>5</v>
      </c>
      <c r="B11" s="60">
        <v>17056825.41</v>
      </c>
      <c r="C11" s="60">
        <v>20190113.469999999</v>
      </c>
      <c r="D11" s="101" t="s">
        <v>56</v>
      </c>
      <c r="E11" s="60">
        <v>246801.63</v>
      </c>
      <c r="F11" s="60">
        <v>561958.17000000004</v>
      </c>
    </row>
    <row r="12" spans="1:6" x14ac:dyDescent="0.25">
      <c r="A12" s="96" t="s">
        <v>6</v>
      </c>
      <c r="B12" s="77">
        <v>224293.79</v>
      </c>
      <c r="C12" s="60">
        <v>196400.17</v>
      </c>
      <c r="D12" s="101" t="s">
        <v>57</v>
      </c>
      <c r="E12" s="60">
        <v>2919544.94</v>
      </c>
      <c r="F12" s="60">
        <v>555569.12</v>
      </c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>
        <v>395365.57</v>
      </c>
      <c r="C14" s="60">
        <v>1748527.74</v>
      </c>
      <c r="D14" s="101" t="s">
        <v>59</v>
      </c>
      <c r="E14" s="60">
        <v>1569147.95</v>
      </c>
      <c r="F14" s="60">
        <v>1217642.1599999999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/>
      <c r="F15" s="60"/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323371.28999999998</v>
      </c>
      <c r="F16" s="60">
        <v>771308.96</v>
      </c>
    </row>
    <row r="17" spans="1:6" x14ac:dyDescent="0.25">
      <c r="A17" s="95" t="s">
        <v>11</v>
      </c>
      <c r="B17" s="60">
        <f>SUM(B18:B24)</f>
        <v>915654.83000000007</v>
      </c>
      <c r="C17" s="60">
        <f>SUM(C18:C24)</f>
        <v>1430644.77</v>
      </c>
      <c r="D17" s="101" t="s">
        <v>62</v>
      </c>
      <c r="E17" s="60"/>
      <c r="F17" s="60"/>
    </row>
    <row r="18" spans="1:6" x14ac:dyDescent="0.25">
      <c r="A18" s="97" t="s">
        <v>12</v>
      </c>
      <c r="B18" s="60">
        <v>429809.63</v>
      </c>
      <c r="C18" s="60">
        <v>431927.38</v>
      </c>
      <c r="D18" s="101" t="s">
        <v>63</v>
      </c>
      <c r="E18" s="60">
        <v>1837430.02</v>
      </c>
      <c r="F18" s="60">
        <v>3972517</v>
      </c>
    </row>
    <row r="19" spans="1:6" x14ac:dyDescent="0.25">
      <c r="A19" s="97" t="s">
        <v>13</v>
      </c>
      <c r="B19" s="60">
        <v>4746.82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/>
      <c r="C20" s="60"/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20000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/>
      <c r="C22" s="60"/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461098.38</v>
      </c>
      <c r="C23" s="60">
        <v>998717.39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1638755.11</v>
      </c>
      <c r="C25" s="60">
        <f>SUM(C26:C30)</f>
        <v>2101551.29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107800</v>
      </c>
      <c r="C26" s="60">
        <v>107800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2000000</v>
      </c>
      <c r="F27" s="60">
        <f>SUM(F28:F30)</f>
        <v>0</v>
      </c>
    </row>
    <row r="28" spans="1:6" x14ac:dyDescent="0.25">
      <c r="A28" s="97" t="s">
        <v>22</v>
      </c>
      <c r="B28" s="60"/>
      <c r="C28" s="60"/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1530955.11</v>
      </c>
      <c r="C29" s="60">
        <v>1993751.29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/>
      <c r="D30" s="101" t="s">
        <v>75</v>
      </c>
      <c r="E30" s="60">
        <v>2000000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17550</v>
      </c>
      <c r="C37" s="60">
        <v>17550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20248444.710000001</v>
      </c>
      <c r="C47" s="61">
        <f>C9+C17+C25+C31+C38+C41</f>
        <v>25667237.439999998</v>
      </c>
      <c r="D47" s="99" t="s">
        <v>91</v>
      </c>
      <c r="E47" s="61">
        <f>E9+E19+E23+E26+E27+E31+E38+E42</f>
        <v>8850826.0999999996</v>
      </c>
      <c r="F47" s="61">
        <f>F9+F19+F23+F26+F27+F31+F38+F42</f>
        <v>9407542.0500000007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18236.63</v>
      </c>
      <c r="C51" s="60">
        <v>18236.63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356741477.5</v>
      </c>
      <c r="C52" s="60">
        <v>326940429.60000002</v>
      </c>
      <c r="D52" s="100" t="s">
        <v>95</v>
      </c>
      <c r="E52" s="60">
        <v>0</v>
      </c>
      <c r="F52" s="60">
        <v>186050</v>
      </c>
    </row>
    <row r="53" spans="1:6" x14ac:dyDescent="0.25">
      <c r="A53" s="95" t="s">
        <v>44</v>
      </c>
      <c r="B53" s="60">
        <v>21971807.079999998</v>
      </c>
      <c r="C53" s="60">
        <v>20716686.789999999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387224.3</v>
      </c>
      <c r="C54" s="60">
        <v>387224.3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-8791068.8599999994</v>
      </c>
      <c r="C55" s="60">
        <v>-8298431.4400000004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13102459.02</v>
      </c>
      <c r="C56" s="60">
        <v>12661580.1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186050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8850826.0999999996</v>
      </c>
      <c r="F59" s="61">
        <f>F47+F57</f>
        <v>9593592.0500000007</v>
      </c>
    </row>
    <row r="60" spans="1:6" x14ac:dyDescent="0.25">
      <c r="A60" s="55" t="s">
        <v>50</v>
      </c>
      <c r="B60" s="61">
        <f>SUM(B50:B58)</f>
        <v>383430135.66999996</v>
      </c>
      <c r="C60" s="61">
        <f>SUM(C50:C58)</f>
        <v>352425725.98000008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403678580.37999994</v>
      </c>
      <c r="C62" s="61">
        <f>SUM(C47+C60)</f>
        <v>378092963.42000008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18704088.579999998</v>
      </c>
      <c r="F63" s="77">
        <f>SUM(F64:F66)</f>
        <v>18704088.579999998</v>
      </c>
    </row>
    <row r="64" spans="1:6" x14ac:dyDescent="0.25">
      <c r="A64" s="54"/>
      <c r="B64" s="54"/>
      <c r="C64" s="54"/>
      <c r="D64" s="103" t="s">
        <v>103</v>
      </c>
      <c r="E64" s="77">
        <v>18583052.469999999</v>
      </c>
      <c r="F64" s="77">
        <v>18583052.469999999</v>
      </c>
    </row>
    <row r="65" spans="1:6" x14ac:dyDescent="0.25">
      <c r="A65" s="54"/>
      <c r="B65" s="54"/>
      <c r="C65" s="54"/>
      <c r="D65" s="41" t="s">
        <v>104</v>
      </c>
      <c r="E65" s="77">
        <v>121036.11</v>
      </c>
      <c r="F65" s="77">
        <v>121036.11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376123665.69999999</v>
      </c>
      <c r="F68" s="77">
        <f>SUM(F69:F73)</f>
        <v>349812832.79000002</v>
      </c>
    </row>
    <row r="69" spans="1:6" x14ac:dyDescent="0.25">
      <c r="A69" s="12"/>
      <c r="B69" s="54"/>
      <c r="C69" s="54"/>
      <c r="D69" s="103" t="s">
        <v>107</v>
      </c>
      <c r="E69" s="77">
        <v>27430316.870000001</v>
      </c>
      <c r="F69" s="77">
        <v>30806857.68</v>
      </c>
    </row>
    <row r="70" spans="1:6" x14ac:dyDescent="0.25">
      <c r="A70" s="12"/>
      <c r="B70" s="54"/>
      <c r="C70" s="54"/>
      <c r="D70" s="103" t="s">
        <v>108</v>
      </c>
      <c r="E70" s="77">
        <v>348693348.82999998</v>
      </c>
      <c r="F70" s="77">
        <v>319005975.11000001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394827754.27999997</v>
      </c>
      <c r="F79" s="61">
        <f>F63+F68+F75</f>
        <v>368516921.37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403678580.38</v>
      </c>
      <c r="F81" s="61">
        <f>F59+F79</f>
        <v>378110513.42000002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17676484.77</v>
      </c>
      <c r="Q4" s="18">
        <f>'Formato 1'!C9</f>
        <v>22135041.379999999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17056825.41</v>
      </c>
      <c r="Q6" s="18">
        <f>'Formato 1'!C11</f>
        <v>20190113.469999999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224293.79</v>
      </c>
      <c r="Q7" s="18">
        <f>'Formato 1'!C12</f>
        <v>196400.17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395365.57</v>
      </c>
      <c r="Q9" s="18">
        <f>'Formato 1'!C14</f>
        <v>1748527.74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915654.83000000007</v>
      </c>
      <c r="Q12" s="18">
        <f>'Formato 1'!C17</f>
        <v>1430644.77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429809.63</v>
      </c>
      <c r="Q13" s="18">
        <f>'Formato 1'!C18</f>
        <v>431927.38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4746.82</v>
      </c>
      <c r="Q14" s="18">
        <f>'Formato 1'!C19</f>
        <v>0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20000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461098.38</v>
      </c>
      <c r="Q18" s="18">
        <f>'Formato 1'!C23</f>
        <v>998717.39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1638755.11</v>
      </c>
      <c r="Q20" s="18">
        <f>'Formato 1'!C25</f>
        <v>2101551.29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1530955.11</v>
      </c>
      <c r="Q24" s="18">
        <f>'Formato 1'!C29</f>
        <v>1993751.29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20248444.710000001</v>
      </c>
      <c r="Q42" s="18">
        <f>'Formato 1'!C47</f>
        <v>25667237.439999998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356741477.5</v>
      </c>
      <c r="Q46">
        <f>'Formato 1'!C52</f>
        <v>326940429.60000002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21971807.079999998</v>
      </c>
      <c r="Q47">
        <f>'Formato 1'!C53</f>
        <v>20716686.789999999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-8791068.8599999994</v>
      </c>
      <c r="Q49">
        <f>'Formato 1'!C55</f>
        <v>-8298431.4400000004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13102459.02</v>
      </c>
      <c r="Q50">
        <f>'Formato 1'!C56</f>
        <v>12661580.1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383430135.66999996</v>
      </c>
      <c r="Q53">
        <f>'Formato 1'!C60</f>
        <v>352425725.98000008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403678580.37999994</v>
      </c>
      <c r="Q54">
        <f>'Formato 1'!C62</f>
        <v>378092963.42000008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6850826.0999999996</v>
      </c>
      <c r="Q57">
        <f>'Formato 1'!F9</f>
        <v>9407542.0500000007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-45469.73</v>
      </c>
      <c r="Q58">
        <f>'Formato 1'!F10</f>
        <v>2328546.64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246801.63</v>
      </c>
      <c r="Q59">
        <f>'Formato 1'!F11</f>
        <v>561958.17000000004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2919544.94</v>
      </c>
      <c r="Q60">
        <f>'Formato 1'!F12</f>
        <v>555569.12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1569147.95</v>
      </c>
      <c r="Q62">
        <f>'Formato 1'!F14</f>
        <v>1217642.1599999999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323371.28999999998</v>
      </c>
      <c r="Q64">
        <f>'Formato 1'!F16</f>
        <v>771308.96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1837430.02</v>
      </c>
      <c r="Q66">
        <f>'Formato 1'!F18</f>
        <v>3972517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2000000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2000000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8850826.0999999996</v>
      </c>
      <c r="Q95">
        <f>'Formato 1'!F47</f>
        <v>9407542.0500000007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186050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8850826.0999999996</v>
      </c>
      <c r="Q104">
        <f>'Formato 1'!F59</f>
        <v>9593592.0500000007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18704088.579999998</v>
      </c>
      <c r="Q106">
        <f>'Formato 1'!F63</f>
        <v>18704088.579999998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121036.11</v>
      </c>
      <c r="Q108">
        <f>'Formato 1'!F65</f>
        <v>121036.11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376123665.69999999</v>
      </c>
      <c r="Q110">
        <f>'Formato 1'!F68</f>
        <v>349812832.79000002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27430316.870000001</v>
      </c>
      <c r="Q111">
        <f>'Formato 1'!F69</f>
        <v>30806857.68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348693348.82999998</v>
      </c>
      <c r="Q112">
        <f>'Formato 1'!F70</f>
        <v>319005975.11000001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394827754.27999997</v>
      </c>
      <c r="Q119">
        <f>'Formato 1'!F79</f>
        <v>368516921.37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403678580.38</v>
      </c>
      <c r="Q120">
        <f>'Formato 1'!F81</f>
        <v>378110513.42000002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7" zoomScale="90" zoomScaleNormal="90" workbookViewId="0">
      <selection activeCell="F17" sqref="F1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6" t="s">
        <v>544</v>
      </c>
      <c r="B1" s="166"/>
      <c r="C1" s="166"/>
      <c r="D1" s="166"/>
      <c r="E1" s="166"/>
      <c r="F1" s="166"/>
      <c r="G1" s="166"/>
      <c r="H1" s="166"/>
    </row>
    <row r="2" spans="1:9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3"/>
      <c r="H2" s="154"/>
    </row>
    <row r="3" spans="1:9" x14ac:dyDescent="0.25">
      <c r="A3" s="155" t="s">
        <v>120</v>
      </c>
      <c r="B3" s="156"/>
      <c r="C3" s="156"/>
      <c r="D3" s="156"/>
      <c r="E3" s="156"/>
      <c r="F3" s="156"/>
      <c r="G3" s="156"/>
      <c r="H3" s="157"/>
    </row>
    <row r="4" spans="1:9" ht="14.25" x14ac:dyDescent="0.45">
      <c r="A4" s="158" t="str">
        <f>PERIODO_INFORME</f>
        <v>Al 31 de diciembre de 2020 y al 31 de diciembre de 2021 (b)</v>
      </c>
      <c r="B4" s="159"/>
      <c r="C4" s="159"/>
      <c r="D4" s="159"/>
      <c r="E4" s="159"/>
      <c r="F4" s="159"/>
      <c r="G4" s="159"/>
      <c r="H4" s="160"/>
    </row>
    <row r="5" spans="1:9" ht="14.25" x14ac:dyDescent="0.45">
      <c r="A5" s="161" t="s">
        <v>118</v>
      </c>
      <c r="B5" s="162"/>
      <c r="C5" s="162"/>
      <c r="D5" s="162"/>
      <c r="E5" s="162"/>
      <c r="F5" s="162"/>
      <c r="G5" s="162"/>
      <c r="H5" s="163"/>
    </row>
    <row r="6" spans="1:9" ht="45" x14ac:dyDescent="0.25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186050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186050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186050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191">
        <v>186050</v>
      </c>
      <c r="C14" s="60">
        <v>0</v>
      </c>
      <c r="D14" s="60">
        <v>0</v>
      </c>
      <c r="E14" s="60">
        <v>0</v>
      </c>
      <c r="F14" s="192">
        <v>186050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1"/>
      <c r="D18" s="131"/>
      <c r="E18" s="131"/>
      <c r="F18" s="61">
        <v>1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186051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ht="14.25" x14ac:dyDescent="0.4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5" t="s">
        <v>3300</v>
      </c>
      <c r="B33" s="165"/>
      <c r="C33" s="165"/>
      <c r="D33" s="165"/>
      <c r="E33" s="165"/>
      <c r="F33" s="165"/>
      <c r="G33" s="165"/>
      <c r="H33" s="165"/>
    </row>
    <row r="34" spans="1:8" ht="12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2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2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2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186050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186050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186050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186051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D4" zoomScale="90" zoomScaleNormal="90" workbookViewId="0">
      <selection activeCell="I12" sqref="I1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4" t="s">
        <v>543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11"/>
    </row>
    <row r="2" spans="1:12" ht="14.25" x14ac:dyDescent="0.45">
      <c r="A2" s="152" t="str">
        <f>ENTE_PUBLICO_A</f>
        <v>Municipio de Tierra Blanca Guanajuato, Gobierno del Estado de Guanajuato (a)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</row>
    <row r="3" spans="1:12" x14ac:dyDescent="0.25">
      <c r="A3" s="155" t="s">
        <v>146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2" ht="14.25" x14ac:dyDescent="0.45">
      <c r="A4" s="158" t="str">
        <f>TRIMESTRE</f>
        <v>Del 1 de enero al 31 de diciembre de 2021 (b)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2" ht="14.25" x14ac:dyDescent="0.45">
      <c r="A5" s="155" t="s">
        <v>118</v>
      </c>
      <c r="B5" s="156"/>
      <c r="C5" s="156"/>
      <c r="D5" s="156"/>
      <c r="E5" s="156"/>
      <c r="F5" s="156"/>
      <c r="G5" s="156"/>
      <c r="H5" s="156"/>
      <c r="I5" s="156"/>
      <c r="J5" s="156"/>
      <c r="K5" s="157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31 de diciembre de 2021 (k)</v>
      </c>
      <c r="J6" s="130" t="str">
        <f>MONTO2</f>
        <v>Monto pagado de la inversión actualizado al 31 de diciembre de 2021 (l)</v>
      </c>
      <c r="K6" s="130" t="str">
        <f>SALDO_PENDIENTE</f>
        <v>Saldo pendiente por pagar de la inversión al 31 de diciembre de 2021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>
        <v>0</v>
      </c>
      <c r="F9" s="60"/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>
        <v>0</v>
      </c>
      <c r="F10" s="60"/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>
        <v>0</v>
      </c>
      <c r="F11" s="60"/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>
        <v>0</v>
      </c>
      <c r="F12" s="60"/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>
        <v>0</v>
      </c>
      <c r="F15" s="60"/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>
        <v>0</v>
      </c>
      <c r="F16" s="60"/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>
        <v>0</v>
      </c>
      <c r="F17" s="60"/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>
        <v>0</v>
      </c>
      <c r="F18" s="60"/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TESORERIA</cp:lastModifiedBy>
  <cp:lastPrinted>2017-02-04T00:56:20Z</cp:lastPrinted>
  <dcterms:created xsi:type="dcterms:W3CDTF">2017-01-19T17:59:06Z</dcterms:created>
  <dcterms:modified xsi:type="dcterms:W3CDTF">2022-02-09T19:19:17Z</dcterms:modified>
</cp:coreProperties>
</file>