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CUENTAS PUBLICAS 2021\2DO TRIMESTRE 2021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activeTab="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9" l="1"/>
  <c r="G22" i="9" s="1"/>
  <c r="D10" i="9"/>
  <c r="G10" i="9" s="1"/>
  <c r="D75" i="8"/>
  <c r="D74" i="8"/>
  <c r="D73" i="8"/>
  <c r="D72" i="8"/>
  <c r="D70" i="8"/>
  <c r="D69" i="8"/>
  <c r="D68" i="8"/>
  <c r="D67" i="8"/>
  <c r="D66" i="8"/>
  <c r="D65" i="8"/>
  <c r="D64" i="8"/>
  <c r="D63" i="8"/>
  <c r="D62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36" i="8"/>
  <c r="D35" i="8"/>
  <c r="D34" i="8"/>
  <c r="D33" i="8"/>
  <c r="D32" i="8"/>
  <c r="D31" i="8"/>
  <c r="D30" i="8"/>
  <c r="D29" i="8"/>
  <c r="D28" i="8"/>
  <c r="D26" i="8"/>
  <c r="D25" i="8"/>
  <c r="D24" i="8"/>
  <c r="D23" i="8"/>
  <c r="D22" i="8"/>
  <c r="D21" i="8"/>
  <c r="D20" i="8"/>
  <c r="D18" i="8"/>
  <c r="D17" i="8"/>
  <c r="D16" i="8"/>
  <c r="D15" i="8"/>
  <c r="D14" i="8"/>
  <c r="D13" i="8"/>
  <c r="D12" i="8"/>
  <c r="D11" i="8"/>
  <c r="D20" i="7"/>
  <c r="D11" i="7"/>
  <c r="D10" i="7"/>
  <c r="D145" i="6"/>
  <c r="D144" i="6"/>
  <c r="D143" i="6"/>
  <c r="D142" i="6"/>
  <c r="D141" i="6"/>
  <c r="D140" i="6"/>
  <c r="D139" i="6"/>
  <c r="D138" i="6"/>
  <c r="D136" i="6"/>
  <c r="D135" i="6"/>
  <c r="D134" i="6"/>
  <c r="D132" i="6"/>
  <c r="D131" i="6"/>
  <c r="D130" i="6"/>
  <c r="D129" i="6"/>
  <c r="D128" i="6"/>
  <c r="D127" i="6"/>
  <c r="D126" i="6"/>
  <c r="D125" i="6"/>
  <c r="D124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82" i="6"/>
  <c r="D81" i="6"/>
  <c r="D80" i="6"/>
  <c r="D79" i="6"/>
  <c r="D78" i="6"/>
  <c r="D77" i="6"/>
  <c r="D76" i="6"/>
  <c r="D74" i="6"/>
  <c r="D73" i="6"/>
  <c r="D72" i="6"/>
  <c r="D70" i="6"/>
  <c r="D69" i="6"/>
  <c r="D68" i="6"/>
  <c r="D67" i="6"/>
  <c r="D66" i="6"/>
  <c r="D65" i="6"/>
  <c r="D64" i="6"/>
  <c r="D63" i="6"/>
  <c r="D61" i="6"/>
  <c r="D60" i="6"/>
  <c r="D59" i="6"/>
  <c r="D57" i="6"/>
  <c r="D56" i="6"/>
  <c r="D55" i="6"/>
  <c r="D54" i="6"/>
  <c r="D53" i="6"/>
  <c r="D52" i="6"/>
  <c r="D51" i="6"/>
  <c r="D50" i="6"/>
  <c r="D49" i="6"/>
  <c r="D47" i="6"/>
  <c r="D46" i="6"/>
  <c r="D45" i="6"/>
  <c r="D44" i="6"/>
  <c r="D43" i="6"/>
  <c r="D42" i="6"/>
  <c r="D41" i="6"/>
  <c r="D40" i="6"/>
  <c r="D39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7" i="6"/>
  <c r="D16" i="6"/>
  <c r="D15" i="6"/>
  <c r="D14" i="6"/>
  <c r="D13" i="6"/>
  <c r="D12" i="6"/>
  <c r="D11" i="6"/>
  <c r="G53" i="5" l="1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36" i="5"/>
  <c r="G35" i="5"/>
  <c r="D36" i="5"/>
  <c r="C35" i="5"/>
  <c r="D35" i="5"/>
  <c r="E35" i="5"/>
  <c r="F35" i="5"/>
  <c r="B35" i="5"/>
  <c r="D33" i="5"/>
  <c r="D32" i="5"/>
  <c r="D31" i="5"/>
  <c r="D30" i="5"/>
  <c r="D29" i="5"/>
  <c r="D27" i="5"/>
  <c r="D26" i="5"/>
  <c r="D25" i="5"/>
  <c r="D24" i="5"/>
  <c r="D23" i="5"/>
  <c r="D22" i="5"/>
  <c r="D21" i="5"/>
  <c r="D20" i="5"/>
  <c r="D19" i="5"/>
  <c r="D18" i="5"/>
  <c r="D17" i="5"/>
  <c r="D15" i="5"/>
  <c r="D14" i="5"/>
  <c r="D13" i="5"/>
  <c r="D12" i="5"/>
  <c r="D11" i="5"/>
  <c r="D10" i="5"/>
  <c r="D9" i="5"/>
  <c r="F14" i="2" l="1"/>
  <c r="C25" i="1" l="1"/>
  <c r="B47" i="1"/>
  <c r="C137" i="6" l="1"/>
  <c r="D137" i="6"/>
  <c r="R129" i="24" s="1"/>
  <c r="E137" i="6"/>
  <c r="F137" i="6"/>
  <c r="T129" i="24" s="1"/>
  <c r="B137" i="6"/>
  <c r="C62" i="6"/>
  <c r="D62" i="6"/>
  <c r="E62" i="6"/>
  <c r="F62" i="6"/>
  <c r="B62" i="6"/>
  <c r="B8" i="10"/>
  <c r="C6" i="23"/>
  <c r="C7" i="23" s="1"/>
  <c r="B9" i="1"/>
  <c r="H25" i="23"/>
  <c r="G25" i="23"/>
  <c r="F25" i="23"/>
  <c r="E25" i="23"/>
  <c r="D25" i="23"/>
  <c r="G30" i="9"/>
  <c r="G31" i="9"/>
  <c r="U23" i="27" s="1"/>
  <c r="G29" i="9"/>
  <c r="G26" i="9"/>
  <c r="G27" i="9"/>
  <c r="G25" i="9"/>
  <c r="G24" i="9" s="1"/>
  <c r="G23" i="9"/>
  <c r="G19" i="9"/>
  <c r="U12" i="27" s="1"/>
  <c r="G18" i="9"/>
  <c r="G17" i="9"/>
  <c r="U10" i="27" s="1"/>
  <c r="G14" i="9"/>
  <c r="G15" i="9"/>
  <c r="G13" i="9"/>
  <c r="G11" i="9"/>
  <c r="G73" i="8"/>
  <c r="G74" i="8"/>
  <c r="G75" i="8"/>
  <c r="G72" i="8"/>
  <c r="G71" i="8" s="1"/>
  <c r="U63" i="26" s="1"/>
  <c r="G63" i="8"/>
  <c r="G64" i="8"/>
  <c r="G65" i="8"/>
  <c r="G66" i="8"/>
  <c r="G67" i="8"/>
  <c r="G68" i="8"/>
  <c r="G69" i="8"/>
  <c r="G70" i="8"/>
  <c r="G62" i="8"/>
  <c r="U54" i="26" s="1"/>
  <c r="G55" i="8"/>
  <c r="G56" i="8"/>
  <c r="G57" i="8"/>
  <c r="G58" i="8"/>
  <c r="G59" i="8"/>
  <c r="G60" i="8"/>
  <c r="G54" i="8"/>
  <c r="G53" i="8" s="1"/>
  <c r="U45" i="26" s="1"/>
  <c r="G46" i="8"/>
  <c r="G47" i="8"/>
  <c r="G48" i="8"/>
  <c r="G49" i="8"/>
  <c r="G50" i="8"/>
  <c r="G51" i="8"/>
  <c r="G52" i="8"/>
  <c r="G45" i="8"/>
  <c r="G44" i="8" s="1"/>
  <c r="G39" i="8"/>
  <c r="U32" i="26" s="1"/>
  <c r="G40" i="8"/>
  <c r="G41" i="8"/>
  <c r="U34" i="26" s="1"/>
  <c r="G38" i="8"/>
  <c r="G11" i="8"/>
  <c r="G12" i="8"/>
  <c r="G13" i="8"/>
  <c r="G14" i="8"/>
  <c r="G15" i="8"/>
  <c r="G16" i="8"/>
  <c r="G17" i="8"/>
  <c r="G18" i="8"/>
  <c r="G20" i="8"/>
  <c r="G21" i="8"/>
  <c r="G22" i="8"/>
  <c r="G23" i="8"/>
  <c r="G24" i="8"/>
  <c r="G25" i="8"/>
  <c r="G26" i="8"/>
  <c r="G28" i="8"/>
  <c r="G29" i="8"/>
  <c r="G30" i="8"/>
  <c r="G31" i="8"/>
  <c r="G32" i="8"/>
  <c r="G33" i="8"/>
  <c r="G34" i="8"/>
  <c r="G35" i="8"/>
  <c r="G36" i="8"/>
  <c r="G37" i="8"/>
  <c r="U30" i="26" s="1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P51" i="24" s="1"/>
  <c r="B71" i="6"/>
  <c r="B75" i="6"/>
  <c r="G152" i="6"/>
  <c r="U144" i="24" s="1"/>
  <c r="G153" i="6"/>
  <c r="G154" i="6"/>
  <c r="U146" i="24" s="1"/>
  <c r="G155" i="6"/>
  <c r="G156" i="6"/>
  <c r="U148" i="24" s="1"/>
  <c r="G157" i="6"/>
  <c r="G151" i="6"/>
  <c r="G150" i="6" s="1"/>
  <c r="U142" i="24" s="1"/>
  <c r="G148" i="6"/>
  <c r="G149" i="6"/>
  <c r="G146" i="6" s="1"/>
  <c r="U138" i="24" s="1"/>
  <c r="G147" i="6"/>
  <c r="G139" i="6"/>
  <c r="G140" i="6"/>
  <c r="U132" i="24" s="1"/>
  <c r="G141" i="6"/>
  <c r="G142" i="6"/>
  <c r="U134" i="24" s="1"/>
  <c r="G143" i="6"/>
  <c r="G144" i="6"/>
  <c r="U136" i="24" s="1"/>
  <c r="G145" i="6"/>
  <c r="G138" i="6"/>
  <c r="G137" i="6" s="1"/>
  <c r="G135" i="6"/>
  <c r="G136" i="6"/>
  <c r="G133" i="6" s="1"/>
  <c r="U125" i="24" s="1"/>
  <c r="G134" i="6"/>
  <c r="G125" i="6"/>
  <c r="G126" i="6"/>
  <c r="G127" i="6"/>
  <c r="G128" i="6"/>
  <c r="G129" i="6"/>
  <c r="G130" i="6"/>
  <c r="G131" i="6"/>
  <c r="G132" i="6"/>
  <c r="G124" i="6"/>
  <c r="G115" i="6"/>
  <c r="G116" i="6"/>
  <c r="G113" i="6" s="1"/>
  <c r="U105" i="24" s="1"/>
  <c r="G117" i="6"/>
  <c r="G118" i="6"/>
  <c r="G119" i="6"/>
  <c r="G120" i="6"/>
  <c r="G121" i="6"/>
  <c r="G122" i="6"/>
  <c r="G114" i="6"/>
  <c r="G105" i="6"/>
  <c r="U97" i="24" s="1"/>
  <c r="G106" i="6"/>
  <c r="G107" i="6"/>
  <c r="U99" i="24" s="1"/>
  <c r="G108" i="6"/>
  <c r="G109" i="6"/>
  <c r="U101" i="24" s="1"/>
  <c r="G110" i="6"/>
  <c r="G111" i="6"/>
  <c r="U103" i="24" s="1"/>
  <c r="G112" i="6"/>
  <c r="G104" i="6"/>
  <c r="G103" i="6" s="1"/>
  <c r="U95" i="24" s="1"/>
  <c r="G95" i="6"/>
  <c r="G96" i="6"/>
  <c r="G93" i="6" s="1"/>
  <c r="U85" i="24" s="1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85" i="6" s="1"/>
  <c r="G77" i="6"/>
  <c r="G78" i="6"/>
  <c r="G75" i="6" s="1"/>
  <c r="U68" i="24" s="1"/>
  <c r="G79" i="6"/>
  <c r="G80" i="6"/>
  <c r="U73" i="24" s="1"/>
  <c r="G81" i="6"/>
  <c r="G82" i="6"/>
  <c r="U75" i="24" s="1"/>
  <c r="G76" i="6"/>
  <c r="G73" i="6"/>
  <c r="G74" i="6"/>
  <c r="G72" i="6"/>
  <c r="U65" i="24" s="1"/>
  <c r="G64" i="6"/>
  <c r="U57" i="24" s="1"/>
  <c r="G65" i="6"/>
  <c r="G66" i="6"/>
  <c r="U59" i="24" s="1"/>
  <c r="G67" i="6"/>
  <c r="G68" i="6"/>
  <c r="U61" i="24" s="1"/>
  <c r="G69" i="6"/>
  <c r="G70" i="6"/>
  <c r="U63" i="24" s="1"/>
  <c r="G63" i="6"/>
  <c r="G60" i="6"/>
  <c r="G61" i="6"/>
  <c r="G58" i="6" s="1"/>
  <c r="U51" i="24" s="1"/>
  <c r="G59" i="6"/>
  <c r="G50" i="6"/>
  <c r="U43" i="24" s="1"/>
  <c r="G51" i="6"/>
  <c r="G52" i="6"/>
  <c r="U45" i="24" s="1"/>
  <c r="G53" i="6"/>
  <c r="G54" i="6"/>
  <c r="U47" i="24" s="1"/>
  <c r="G55" i="6"/>
  <c r="G56" i="6"/>
  <c r="U49" i="24" s="1"/>
  <c r="G57" i="6"/>
  <c r="G49" i="6"/>
  <c r="G48" i="6" s="1"/>
  <c r="U41" i="24" s="1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18" i="6" s="1"/>
  <c r="U11" i="24" s="1"/>
  <c r="G22" i="6"/>
  <c r="G23" i="6"/>
  <c r="G24" i="6"/>
  <c r="G25" i="6"/>
  <c r="G26" i="6"/>
  <c r="G27" i="6"/>
  <c r="G19" i="6"/>
  <c r="G11" i="6"/>
  <c r="B7" i="13"/>
  <c r="G12" i="6"/>
  <c r="G13" i="6"/>
  <c r="U6" i="24" s="1"/>
  <c r="G14" i="6"/>
  <c r="G15" i="6"/>
  <c r="U8" i="24" s="1"/>
  <c r="G16" i="6"/>
  <c r="G17" i="6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29" i="5"/>
  <c r="G28" i="5" s="1"/>
  <c r="U22" i="20" s="1"/>
  <c r="G30" i="5"/>
  <c r="G31" i="5"/>
  <c r="G32" i="5"/>
  <c r="G33" i="5"/>
  <c r="G38" i="5"/>
  <c r="G39" i="5"/>
  <c r="G37" i="5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 s="1"/>
  <c r="D7" i="13"/>
  <c r="D29" i="13" s="1"/>
  <c r="R22" i="31" s="1"/>
  <c r="E7" i="13"/>
  <c r="E29" i="13"/>
  <c r="S22" i="31" s="1"/>
  <c r="F7" i="13"/>
  <c r="F29" i="13" s="1"/>
  <c r="T22" i="31" s="1"/>
  <c r="G7" i="13"/>
  <c r="G29" i="13"/>
  <c r="U22" i="31" s="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 s="1"/>
  <c r="C7" i="12"/>
  <c r="C31" i="12" s="1"/>
  <c r="Q23" i="30" s="1"/>
  <c r="D7" i="12"/>
  <c r="D31" i="12"/>
  <c r="R23" i="30" s="1"/>
  <c r="E7" i="12"/>
  <c r="E31" i="12" s="1"/>
  <c r="S23" i="30" s="1"/>
  <c r="F7" i="12"/>
  <c r="F31" i="12"/>
  <c r="T23" i="30" s="1"/>
  <c r="G7" i="12"/>
  <c r="G31" i="12" s="1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R2" i="30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 s="1"/>
  <c r="C8" i="11"/>
  <c r="C30" i="11" s="1"/>
  <c r="Q22" i="29" s="1"/>
  <c r="D8" i="11"/>
  <c r="D30" i="11"/>
  <c r="R22" i="29" s="1"/>
  <c r="E8" i="11"/>
  <c r="E30" i="11" s="1"/>
  <c r="S22" i="29" s="1"/>
  <c r="F8" i="11"/>
  <c r="F30" i="11"/>
  <c r="T22" i="29" s="1"/>
  <c r="G8" i="11"/>
  <c r="G30" i="11" s="1"/>
  <c r="U22" i="29" s="1"/>
  <c r="R2" i="29"/>
  <c r="T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 s="1"/>
  <c r="D32" i="10"/>
  <c r="R23" i="28" s="1"/>
  <c r="E32" i="10"/>
  <c r="S23" i="28" s="1"/>
  <c r="F32" i="10"/>
  <c r="T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/>
  <c r="P22" i="28"/>
  <c r="B32" i="10"/>
  <c r="P23" i="28" s="1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 s="1"/>
  <c r="Q2" i="27" s="1"/>
  <c r="D12" i="9"/>
  <c r="R5" i="27" s="1"/>
  <c r="D16" i="9"/>
  <c r="D9" i="9"/>
  <c r="R2" i="27" s="1"/>
  <c r="E12" i="9"/>
  <c r="E16" i="9"/>
  <c r="E9" i="9" s="1"/>
  <c r="S2" i="27" s="1"/>
  <c r="F12" i="9"/>
  <c r="T5" i="27" s="1"/>
  <c r="F16" i="9"/>
  <c r="F9" i="9"/>
  <c r="T2" i="27" s="1"/>
  <c r="G12" i="9"/>
  <c r="G16" i="9"/>
  <c r="G9" i="9" s="1"/>
  <c r="U2" i="27" s="1"/>
  <c r="Q3" i="27"/>
  <c r="R3" i="27"/>
  <c r="S3" i="27"/>
  <c r="T3" i="27"/>
  <c r="U3" i="27"/>
  <c r="Q4" i="27"/>
  <c r="R4" i="27"/>
  <c r="S4" i="27"/>
  <c r="T4" i="27"/>
  <c r="U4" i="27"/>
  <c r="Q5" i="27"/>
  <c r="S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4" i="9"/>
  <c r="C28" i="9"/>
  <c r="C21" i="9" s="1"/>
  <c r="Q13" i="27" s="1"/>
  <c r="D24" i="9"/>
  <c r="R16" i="27" s="1"/>
  <c r="D28" i="9"/>
  <c r="D21" i="9"/>
  <c r="R13" i="27" s="1"/>
  <c r="E24" i="9"/>
  <c r="E28" i="9"/>
  <c r="E21" i="9" s="1"/>
  <c r="S13" i="27" s="1"/>
  <c r="F24" i="9"/>
  <c r="T16" i="27" s="1"/>
  <c r="F28" i="9"/>
  <c r="F21" i="9"/>
  <c r="T13" i="27" s="1"/>
  <c r="G28" i="9"/>
  <c r="Q14" i="27"/>
  <c r="R14" i="27"/>
  <c r="S14" i="27"/>
  <c r="T14" i="27"/>
  <c r="U14" i="27"/>
  <c r="Q15" i="27"/>
  <c r="R15" i="27"/>
  <c r="S15" i="27"/>
  <c r="T15" i="27"/>
  <c r="U15" i="27"/>
  <c r="Q16" i="27"/>
  <c r="S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B21" i="9"/>
  <c r="P13" i="27" s="1"/>
  <c r="P14" i="27"/>
  <c r="P15" i="27"/>
  <c r="P17" i="27"/>
  <c r="P18" i="27"/>
  <c r="P19" i="27"/>
  <c r="P20" i="27"/>
  <c r="P21" i="27"/>
  <c r="P22" i="27"/>
  <c r="P23" i="27"/>
  <c r="B9" i="9"/>
  <c r="P2" i="27" s="1"/>
  <c r="A5" i="27"/>
  <c r="A4" i="27"/>
  <c r="A3" i="27"/>
  <c r="A2" i="27"/>
  <c r="C10" i="8"/>
  <c r="C19" i="8"/>
  <c r="C27" i="8"/>
  <c r="Q20" i="26" s="1"/>
  <c r="C37" i="8"/>
  <c r="C9" i="8"/>
  <c r="Q2" i="26" s="1"/>
  <c r="D10" i="8"/>
  <c r="R3" i="26" s="1"/>
  <c r="D19" i="8"/>
  <c r="D27" i="8"/>
  <c r="D37" i="8"/>
  <c r="E10" i="8"/>
  <c r="E19" i="8"/>
  <c r="E27" i="8"/>
  <c r="S20" i="26" s="1"/>
  <c r="E37" i="8"/>
  <c r="E9" i="8" s="1"/>
  <c r="S2" i="26" s="1"/>
  <c r="F10" i="8"/>
  <c r="T3" i="26" s="1"/>
  <c r="F19" i="8"/>
  <c r="F27" i="8"/>
  <c r="T20" i="26" s="1"/>
  <c r="F37" i="8"/>
  <c r="Q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S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T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C44" i="8"/>
  <c r="C53" i="8"/>
  <c r="C61" i="8"/>
  <c r="C71" i="8"/>
  <c r="Q63" i="26" s="1"/>
  <c r="D44" i="8"/>
  <c r="D53" i="8"/>
  <c r="D61" i="8"/>
  <c r="R53" i="26" s="1"/>
  <c r="D71" i="8"/>
  <c r="E44" i="8"/>
  <c r="E53" i="8"/>
  <c r="E61" i="8"/>
  <c r="E71" i="8"/>
  <c r="S63" i="26" s="1"/>
  <c r="F44" i="8"/>
  <c r="F53" i="8"/>
  <c r="F61" i="8"/>
  <c r="T53" i="26" s="1"/>
  <c r="F71" i="8"/>
  <c r="G61" i="8"/>
  <c r="Q36" i="26"/>
  <c r="R36" i="26"/>
  <c r="S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T45" i="26"/>
  <c r="Q46" i="26"/>
  <c r="R46" i="26"/>
  <c r="S46" i="26"/>
  <c r="T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U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R63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P53" i="26" s="1"/>
  <c r="B71" i="8"/>
  <c r="B10" i="8"/>
  <c r="B19" i="8"/>
  <c r="B27" i="8"/>
  <c r="B37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19" i="7"/>
  <c r="F9" i="7"/>
  <c r="T2" i="25" s="1"/>
  <c r="F19" i="7"/>
  <c r="T3" i="25" s="1"/>
  <c r="E9" i="7"/>
  <c r="S2" i="25" s="1"/>
  <c r="E19" i="7"/>
  <c r="S3" i="25" s="1"/>
  <c r="D9" i="7"/>
  <c r="R2" i="25" s="1"/>
  <c r="D19" i="7"/>
  <c r="C9" i="7"/>
  <c r="Q2" i="25" s="1"/>
  <c r="C19" i="7"/>
  <c r="B9" i="7"/>
  <c r="P2" i="25" s="1"/>
  <c r="B19" i="7"/>
  <c r="U3" i="25"/>
  <c r="A3" i="25"/>
  <c r="A4" i="25"/>
  <c r="A2" i="25"/>
  <c r="A87" i="24"/>
  <c r="C85" i="6"/>
  <c r="Q77" i="24" s="1"/>
  <c r="C93" i="6"/>
  <c r="C103" i="6"/>
  <c r="Q95" i="24" s="1"/>
  <c r="C113" i="6"/>
  <c r="Q105" i="24" s="1"/>
  <c r="C123" i="6"/>
  <c r="Q115" i="24" s="1"/>
  <c r="C133" i="6"/>
  <c r="Q125" i="24" s="1"/>
  <c r="C146" i="6"/>
  <c r="Q138" i="24" s="1"/>
  <c r="C150" i="6"/>
  <c r="D85" i="6"/>
  <c r="R77" i="24" s="1"/>
  <c r="D93" i="6"/>
  <c r="D103" i="6"/>
  <c r="R95" i="24" s="1"/>
  <c r="D113" i="6"/>
  <c r="D123" i="6"/>
  <c r="R115" i="24" s="1"/>
  <c r="D133" i="6"/>
  <c r="D146" i="6"/>
  <c r="D150" i="6"/>
  <c r="E85" i="6"/>
  <c r="E93" i="6"/>
  <c r="E103" i="6"/>
  <c r="S95" i="24" s="1"/>
  <c r="E113" i="6"/>
  <c r="E123" i="6"/>
  <c r="E133" i="6"/>
  <c r="S125" i="24" s="1"/>
  <c r="E146" i="6"/>
  <c r="S138" i="24" s="1"/>
  <c r="E150" i="6"/>
  <c r="F85" i="6"/>
  <c r="T77" i="24" s="1"/>
  <c r="F93" i="6"/>
  <c r="F103" i="6"/>
  <c r="T95" i="24" s="1"/>
  <c r="F113" i="6"/>
  <c r="F123" i="6"/>
  <c r="T115" i="24" s="1"/>
  <c r="F133" i="6"/>
  <c r="F146" i="6"/>
  <c r="T138" i="24" s="1"/>
  <c r="F150" i="6"/>
  <c r="G123" i="6"/>
  <c r="U115" i="24" s="1"/>
  <c r="S77" i="24"/>
  <c r="Q78" i="24"/>
  <c r="R78" i="24"/>
  <c r="S78" i="24"/>
  <c r="T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U104" i="24"/>
  <c r="R105" i="24"/>
  <c r="S105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S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S129" i="24"/>
  <c r="U129" i="24"/>
  <c r="Q130" i="24"/>
  <c r="R130" i="24"/>
  <c r="S130" i="24"/>
  <c r="T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U145" i="24"/>
  <c r="Q146" i="24"/>
  <c r="R146" i="24"/>
  <c r="S146" i="24"/>
  <c r="T146" i="24"/>
  <c r="Q147" i="24"/>
  <c r="R147" i="24"/>
  <c r="S147" i="24"/>
  <c r="T147" i="24"/>
  <c r="U147" i="24"/>
  <c r="Q148" i="24"/>
  <c r="R148" i="24"/>
  <c r="S148" i="24"/>
  <c r="T148" i="24"/>
  <c r="Q149" i="24"/>
  <c r="R149" i="24"/>
  <c r="S149" i="24"/>
  <c r="T149" i="24"/>
  <c r="U149" i="24"/>
  <c r="C10" i="6"/>
  <c r="C18" i="6"/>
  <c r="C28" i="6"/>
  <c r="C38" i="6"/>
  <c r="Q31" i="24" s="1"/>
  <c r="C48" i="6"/>
  <c r="Q41" i="24" s="1"/>
  <c r="C58" i="6"/>
  <c r="Q51" i="24" s="1"/>
  <c r="C71" i="6"/>
  <c r="Q64" i="24" s="1"/>
  <c r="C75" i="6"/>
  <c r="Q68" i="24" s="1"/>
  <c r="D10" i="6"/>
  <c r="R3" i="24" s="1"/>
  <c r="D18" i="6"/>
  <c r="D28" i="6"/>
  <c r="R21" i="24" s="1"/>
  <c r="D38" i="6"/>
  <c r="D48" i="6"/>
  <c r="R41" i="24" s="1"/>
  <c r="D58" i="6"/>
  <c r="D71" i="6"/>
  <c r="R64" i="24" s="1"/>
  <c r="D75" i="6"/>
  <c r="E10" i="6"/>
  <c r="E18" i="6"/>
  <c r="E28" i="6"/>
  <c r="E38" i="6"/>
  <c r="E48" i="6"/>
  <c r="E58" i="6"/>
  <c r="E71" i="6"/>
  <c r="E75" i="6"/>
  <c r="S68" i="24" s="1"/>
  <c r="F10" i="6"/>
  <c r="T3" i="24" s="1"/>
  <c r="F18" i="6"/>
  <c r="F28" i="6"/>
  <c r="T21" i="24" s="1"/>
  <c r="F38" i="6"/>
  <c r="F48" i="6"/>
  <c r="T41" i="24" s="1"/>
  <c r="F58" i="6"/>
  <c r="F71" i="6"/>
  <c r="T64" i="24" s="1"/>
  <c r="F75" i="6"/>
  <c r="G28" i="6"/>
  <c r="G38" i="6"/>
  <c r="G71" i="6"/>
  <c r="B85" i="6"/>
  <c r="P77" i="24" s="1"/>
  <c r="B93" i="6"/>
  <c r="B103" i="6"/>
  <c r="P95" i="24" s="1"/>
  <c r="B113" i="6"/>
  <c r="B123" i="6"/>
  <c r="P115" i="24" s="1"/>
  <c r="B133" i="6"/>
  <c r="B146" i="6"/>
  <c r="P138" i="24" s="1"/>
  <c r="B150" i="6"/>
  <c r="B84" i="6"/>
  <c r="P76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S3" i="24"/>
  <c r="Q4" i="24"/>
  <c r="R4" i="24"/>
  <c r="S4" i="24"/>
  <c r="T4" i="24"/>
  <c r="Q5" i="24"/>
  <c r="R5" i="24"/>
  <c r="S5" i="24"/>
  <c r="T5" i="24"/>
  <c r="U5" i="24"/>
  <c r="Q6" i="24"/>
  <c r="R6" i="24"/>
  <c r="S6" i="24"/>
  <c r="T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U10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S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R31" i="24"/>
  <c r="S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S41" i="24"/>
  <c r="Q42" i="24"/>
  <c r="R42" i="24"/>
  <c r="S42" i="24"/>
  <c r="T42" i="24"/>
  <c r="U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Q60" i="24"/>
  <c r="R60" i="24"/>
  <c r="S60" i="24"/>
  <c r="T60" i="24"/>
  <c r="U60" i="24"/>
  <c r="Q61" i="24"/>
  <c r="R61" i="24"/>
  <c r="S61" i="24"/>
  <c r="T61" i="24"/>
  <c r="Q62" i="24"/>
  <c r="R62" i="24"/>
  <c r="S62" i="24"/>
  <c r="T62" i="24"/>
  <c r="U62" i="24"/>
  <c r="Q63" i="24"/>
  <c r="R63" i="24"/>
  <c r="S63" i="24"/>
  <c r="T63" i="24"/>
  <c r="S64" i="24"/>
  <c r="U64" i="24"/>
  <c r="Q65" i="24"/>
  <c r="R65" i="24"/>
  <c r="S65" i="24"/>
  <c r="T65" i="24"/>
  <c r="Q66" i="24"/>
  <c r="R66" i="24"/>
  <c r="S66" i="24"/>
  <c r="T66" i="24"/>
  <c r="U66" i="24"/>
  <c r="Q67" i="24"/>
  <c r="R67" i="24"/>
  <c r="S67" i="24"/>
  <c r="T67" i="24"/>
  <c r="U67" i="24"/>
  <c r="R68" i="24"/>
  <c r="T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Q74" i="24"/>
  <c r="R74" i="24"/>
  <c r="S74" i="24"/>
  <c r="T74" i="24"/>
  <c r="U74" i="24"/>
  <c r="Q75" i="24"/>
  <c r="R75" i="24"/>
  <c r="S75" i="24"/>
  <c r="T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28" i="20"/>
  <c r="U29" i="20"/>
  <c r="U30" i="20"/>
  <c r="U31" i="20"/>
  <c r="U32" i="20"/>
  <c r="U33" i="20"/>
  <c r="U41" i="20"/>
  <c r="U43" i="20"/>
  <c r="U45" i="20"/>
  <c r="U38" i="20"/>
  <c r="U40" i="20"/>
  <c r="U42" i="20"/>
  <c r="U44" i="20"/>
  <c r="G55" i="5"/>
  <c r="G56" i="5"/>
  <c r="G57" i="5"/>
  <c r="G58" i="5"/>
  <c r="U47" i="20"/>
  <c r="U48" i="20"/>
  <c r="U49" i="20"/>
  <c r="U50" i="20"/>
  <c r="G60" i="5"/>
  <c r="G61" i="5"/>
  <c r="G59" i="5" s="1"/>
  <c r="U51" i="20" s="1"/>
  <c r="U52" i="20"/>
  <c r="G62" i="5"/>
  <c r="U54" i="20" s="1"/>
  <c r="G63" i="5"/>
  <c r="U55" i="20" s="1"/>
  <c r="G68" i="5"/>
  <c r="G67" i="5" s="1"/>
  <c r="U57" i="20" s="1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 s="1"/>
  <c r="E41" i="5"/>
  <c r="S34" i="20" s="1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P29" i="20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B6" i="1" s="1"/>
  <c r="F18" i="23"/>
  <c r="K6" i="3" s="1"/>
  <c r="E18" i="23"/>
  <c r="J6" i="3" s="1"/>
  <c r="D18" i="23"/>
  <c r="I6" i="3" s="1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C6" i="10"/>
  <c r="G5" i="13"/>
  <c r="G5" i="12"/>
  <c r="C11" i="23"/>
  <c r="A2" i="13" s="1"/>
  <c r="A2" i="10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 s="1"/>
  <c r="Y4" i="17" s="1"/>
  <c r="J14" i="3"/>
  <c r="X4" i="17" s="1"/>
  <c r="I14" i="3"/>
  <c r="W4" i="17" s="1"/>
  <c r="I8" i="3"/>
  <c r="W3" i="17" s="1"/>
  <c r="H14" i="3"/>
  <c r="G14" i="3"/>
  <c r="U4" i="17" s="1"/>
  <c r="E14" i="3"/>
  <c r="S4" i="17" s="1"/>
  <c r="K9" i="3"/>
  <c r="K8" i="3" s="1"/>
  <c r="Y3" i="17" s="1"/>
  <c r="K10" i="3"/>
  <c r="K11" i="3"/>
  <c r="K12" i="3"/>
  <c r="J8" i="3"/>
  <c r="J20" i="3" s="1"/>
  <c r="X5" i="17" s="1"/>
  <c r="H8" i="3"/>
  <c r="G8" i="3"/>
  <c r="E8" i="3"/>
  <c r="F41" i="2"/>
  <c r="E41" i="2"/>
  <c r="S17" i="16" s="1"/>
  <c r="D41" i="2"/>
  <c r="R17" i="16" s="1"/>
  <c r="C41" i="2"/>
  <c r="H27" i="2"/>
  <c r="V15" i="16" s="1"/>
  <c r="G27" i="2"/>
  <c r="U15" i="16" s="1"/>
  <c r="F27" i="2"/>
  <c r="T15" i="16" s="1"/>
  <c r="E27" i="2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D22" i="2"/>
  <c r="R14" i="16" s="1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P30" i="18" s="1"/>
  <c r="B49" i="4"/>
  <c r="B48" i="4"/>
  <c r="B37" i="4"/>
  <c r="B44" i="4" s="1"/>
  <c r="B8" i="4"/>
  <c r="P2" i="18" s="1"/>
  <c r="B29" i="4"/>
  <c r="P15" i="18" s="1"/>
  <c r="B17" i="4"/>
  <c r="B13" i="4"/>
  <c r="B21" i="4" s="1"/>
  <c r="B23" i="4" s="1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27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F23" i="1"/>
  <c r="F27" i="1"/>
  <c r="Q76" i="15" s="1"/>
  <c r="F31" i="1"/>
  <c r="F38" i="1"/>
  <c r="F42" i="1"/>
  <c r="Q91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E23" i="1"/>
  <c r="E27" i="1"/>
  <c r="E31" i="1"/>
  <c r="P80" i="15" s="1"/>
  <c r="E38" i="1"/>
  <c r="P87" i="15" s="1"/>
  <c r="E42" i="1"/>
  <c r="P91" i="15" s="1"/>
  <c r="E57" i="1"/>
  <c r="E63" i="1"/>
  <c r="E68" i="1"/>
  <c r="E75" i="1"/>
  <c r="P116" i="15" s="1"/>
  <c r="P117" i="15"/>
  <c r="P118" i="15"/>
  <c r="P111" i="15"/>
  <c r="P112" i="15"/>
  <c r="P113" i="15"/>
  <c r="P114" i="15"/>
  <c r="P115" i="15"/>
  <c r="P110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Q33" i="15"/>
  <c r="P33" i="15"/>
  <c r="A33" i="15"/>
  <c r="A55" i="15"/>
  <c r="C9" i="1"/>
  <c r="C17" i="1"/>
  <c r="Q20" i="15"/>
  <c r="C38" i="1"/>
  <c r="Q34" i="15" s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C68" i="4"/>
  <c r="Q36" i="18" s="1"/>
  <c r="D68" i="4"/>
  <c r="R36" i="18" s="1"/>
  <c r="C64" i="4"/>
  <c r="Q33" i="18" s="1"/>
  <c r="D64" i="4"/>
  <c r="C63" i="4"/>
  <c r="C72" i="4" s="1"/>
  <c r="D63" i="4"/>
  <c r="R32" i="18" s="1"/>
  <c r="C48" i="4"/>
  <c r="Q26" i="18" s="1"/>
  <c r="C55" i="4"/>
  <c r="D55" i="4"/>
  <c r="R31" i="18" s="1"/>
  <c r="C53" i="4"/>
  <c r="D53" i="4"/>
  <c r="D48" i="4"/>
  <c r="C49" i="4"/>
  <c r="D49" i="4"/>
  <c r="C29" i="4"/>
  <c r="Q15" i="18" s="1"/>
  <c r="D29" i="4"/>
  <c r="C40" i="4"/>
  <c r="Q22" i="18" s="1"/>
  <c r="D40" i="4"/>
  <c r="C37" i="4"/>
  <c r="D37" i="4"/>
  <c r="R19" i="18" s="1"/>
  <c r="C17" i="4"/>
  <c r="C13" i="4"/>
  <c r="Q6" i="18" s="1"/>
  <c r="D13" i="4"/>
  <c r="R6" i="18" s="1"/>
  <c r="V4" i="17"/>
  <c r="X3" i="17"/>
  <c r="Q17" i="16"/>
  <c r="T17" i="16"/>
  <c r="S15" i="16"/>
  <c r="Q14" i="16"/>
  <c r="C13" i="2"/>
  <c r="Q8" i="16" s="1"/>
  <c r="D13" i="2"/>
  <c r="R8" i="16" s="1"/>
  <c r="E13" i="2"/>
  <c r="S8" i="16" s="1"/>
  <c r="F13" i="2"/>
  <c r="T8" i="16" s="1"/>
  <c r="U8" i="16"/>
  <c r="V8" i="16"/>
  <c r="B13" i="2"/>
  <c r="P8" i="16" s="1"/>
  <c r="C9" i="2"/>
  <c r="Q4" i="16" s="1"/>
  <c r="D9" i="2"/>
  <c r="R4" i="16" s="1"/>
  <c r="E9" i="2"/>
  <c r="S4" i="16" s="1"/>
  <c r="F9" i="2"/>
  <c r="T4" i="16"/>
  <c r="G9" i="2"/>
  <c r="U4" i="16"/>
  <c r="H9" i="2"/>
  <c r="V4" i="16" s="1"/>
  <c r="B9" i="2"/>
  <c r="P4" i="16" s="1"/>
  <c r="P4" i="15"/>
  <c r="R22" i="18"/>
  <c r="R27" i="18"/>
  <c r="Q30" i="18"/>
  <c r="Q9" i="18"/>
  <c r="Q27" i="18"/>
  <c r="Q32" i="18"/>
  <c r="R15" i="18"/>
  <c r="R26" i="18"/>
  <c r="Q31" i="18"/>
  <c r="R33" i="18"/>
  <c r="R37" i="18"/>
  <c r="Q19" i="18"/>
  <c r="R30" i="18"/>
  <c r="S14" i="16"/>
  <c r="T14" i="16"/>
  <c r="D44" i="4"/>
  <c r="R25" i="18" s="1"/>
  <c r="B8" i="2"/>
  <c r="P3" i="16" s="1"/>
  <c r="E8" i="2"/>
  <c r="E20" i="2" s="1"/>
  <c r="S13" i="16" s="1"/>
  <c r="H8" i="2"/>
  <c r="H20" i="2" s="1"/>
  <c r="V13" i="16" s="1"/>
  <c r="V3" i="16"/>
  <c r="Q67" i="15"/>
  <c r="G21" i="9" l="1"/>
  <c r="U13" i="27" s="1"/>
  <c r="U16" i="27"/>
  <c r="U17" i="27"/>
  <c r="F33" i="9"/>
  <c r="T24" i="27" s="1"/>
  <c r="D33" i="9"/>
  <c r="R24" i="27" s="1"/>
  <c r="E33" i="9"/>
  <c r="S24" i="27" s="1"/>
  <c r="C33" i="9"/>
  <c r="Q24" i="27" s="1"/>
  <c r="D9" i="8"/>
  <c r="R2" i="26" s="1"/>
  <c r="S30" i="26"/>
  <c r="B43" i="8"/>
  <c r="P35" i="26" s="1"/>
  <c r="F43" i="8"/>
  <c r="E43" i="8"/>
  <c r="S35" i="26" s="1"/>
  <c r="D43" i="8"/>
  <c r="R35" i="26" s="1"/>
  <c r="C43" i="8"/>
  <c r="Q35" i="26" s="1"/>
  <c r="U46" i="26"/>
  <c r="R45" i="26"/>
  <c r="U36" i="26"/>
  <c r="G43" i="8"/>
  <c r="U35" i="26" s="1"/>
  <c r="F9" i="8"/>
  <c r="T2" i="26" s="1"/>
  <c r="G27" i="8"/>
  <c r="U20" i="26" s="1"/>
  <c r="G19" i="8"/>
  <c r="U12" i="26" s="1"/>
  <c r="T12" i="26"/>
  <c r="R12" i="26"/>
  <c r="B9" i="8"/>
  <c r="B77" i="8" s="1"/>
  <c r="P68" i="26" s="1"/>
  <c r="G10" i="8"/>
  <c r="C29" i="7"/>
  <c r="Q4" i="25" s="1"/>
  <c r="Q3" i="25"/>
  <c r="G29" i="7"/>
  <c r="U4" i="25" s="1"/>
  <c r="F84" i="6"/>
  <c r="T76" i="24" s="1"/>
  <c r="U130" i="24"/>
  <c r="D84" i="6"/>
  <c r="R76" i="24" s="1"/>
  <c r="C84" i="6"/>
  <c r="Q76" i="24" s="1"/>
  <c r="E84" i="6"/>
  <c r="S76" i="24" s="1"/>
  <c r="S85" i="24"/>
  <c r="Q85" i="24"/>
  <c r="U77" i="24"/>
  <c r="G84" i="6"/>
  <c r="U76" i="24" s="1"/>
  <c r="U78" i="24"/>
  <c r="U71" i="24"/>
  <c r="F9" i="6"/>
  <c r="G62" i="6"/>
  <c r="U55" i="24" s="1"/>
  <c r="U54" i="24"/>
  <c r="D9" i="6"/>
  <c r="D159" i="6" s="1"/>
  <c r="R150" i="24" s="1"/>
  <c r="B9" i="6"/>
  <c r="P2" i="24" s="1"/>
  <c r="G10" i="6"/>
  <c r="U3" i="24" s="1"/>
  <c r="U4" i="24"/>
  <c r="B159" i="6"/>
  <c r="P150" i="24" s="1"/>
  <c r="B41" i="5"/>
  <c r="P34" i="20" s="1"/>
  <c r="P22" i="20"/>
  <c r="F41" i="5"/>
  <c r="D41" i="5"/>
  <c r="G16" i="5"/>
  <c r="U10" i="20" s="1"/>
  <c r="C70" i="5"/>
  <c r="E70" i="5"/>
  <c r="G41" i="5"/>
  <c r="C57" i="4"/>
  <c r="C59" i="4" s="1"/>
  <c r="B72" i="4"/>
  <c r="C44" i="4"/>
  <c r="Q25" i="18" s="1"/>
  <c r="P5" i="18"/>
  <c r="P25" i="18"/>
  <c r="P19" i="18"/>
  <c r="D72" i="4"/>
  <c r="P6" i="18"/>
  <c r="P12" i="18"/>
  <c r="D57" i="4"/>
  <c r="D59" i="4" s="1"/>
  <c r="G20" i="3"/>
  <c r="U5" i="17" s="1"/>
  <c r="E20" i="3"/>
  <c r="S5" i="17" s="1"/>
  <c r="F8" i="2"/>
  <c r="F20" i="2" s="1"/>
  <c r="T13" i="16" s="1"/>
  <c r="G8" i="2"/>
  <c r="B20" i="2"/>
  <c r="P13" i="16" s="1"/>
  <c r="U3" i="17"/>
  <c r="H20" i="3"/>
  <c r="V5" i="17" s="1"/>
  <c r="I20" i="3"/>
  <c r="W5" i="17" s="1"/>
  <c r="B29" i="7"/>
  <c r="P4" i="25" s="1"/>
  <c r="E29" i="7"/>
  <c r="S4" i="25" s="1"/>
  <c r="F29" i="7"/>
  <c r="T4" i="25" s="1"/>
  <c r="E79" i="1"/>
  <c r="P119" i="15" s="1"/>
  <c r="F47" i="1"/>
  <c r="F59" i="1" s="1"/>
  <c r="Q104" i="15" s="1"/>
  <c r="P42" i="15"/>
  <c r="Q4" i="15"/>
  <c r="C47" i="1"/>
  <c r="Q42" i="15" s="1"/>
  <c r="P34" i="15"/>
  <c r="B62" i="1"/>
  <c r="P54" i="15" s="1"/>
  <c r="B6" i="10"/>
  <c r="D6" i="10"/>
  <c r="F6" i="10"/>
  <c r="A2" i="12"/>
  <c r="A2" i="6"/>
  <c r="A2" i="7"/>
  <c r="A2" i="4"/>
  <c r="A2" i="2"/>
  <c r="A2" i="9"/>
  <c r="A2" i="8"/>
  <c r="A2" i="5"/>
  <c r="A2" i="3"/>
  <c r="A2" i="1"/>
  <c r="A2" i="14"/>
  <c r="A2" i="11"/>
  <c r="P3" i="25"/>
  <c r="D8" i="4"/>
  <c r="R5" i="18"/>
  <c r="Q5" i="18"/>
  <c r="C8" i="4"/>
  <c r="Q38" i="18"/>
  <c r="C74" i="4"/>
  <c r="Q39" i="18" s="1"/>
  <c r="B25" i="4"/>
  <c r="P13" i="18"/>
  <c r="E47" i="1"/>
  <c r="G45" i="5"/>
  <c r="G9" i="6"/>
  <c r="C9" i="6"/>
  <c r="D29" i="7"/>
  <c r="R4" i="25" s="1"/>
  <c r="R3" i="25"/>
  <c r="V3" i="17"/>
  <c r="S3" i="16"/>
  <c r="T3" i="16"/>
  <c r="C8" i="2"/>
  <c r="D8" i="2"/>
  <c r="S3" i="17"/>
  <c r="P57" i="15"/>
  <c r="P106" i="15"/>
  <c r="F79" i="1"/>
  <c r="B57" i="4"/>
  <c r="B59" i="4" s="1"/>
  <c r="P26" i="18"/>
  <c r="K20" i="3"/>
  <c r="Y5" i="17" s="1"/>
  <c r="B65" i="5"/>
  <c r="P37" i="20"/>
  <c r="U53" i="20"/>
  <c r="G54" i="5"/>
  <c r="U46" i="20" s="1"/>
  <c r="U39" i="20"/>
  <c r="U31" i="24"/>
  <c r="Q11" i="24"/>
  <c r="E9" i="6"/>
  <c r="P2" i="26"/>
  <c r="T35" i="26"/>
  <c r="E77" i="8"/>
  <c r="S68" i="26" s="1"/>
  <c r="C77" i="8"/>
  <c r="Q68" i="26" s="1"/>
  <c r="S45" i="26"/>
  <c r="Q45" i="26"/>
  <c r="B33" i="9"/>
  <c r="P24" i="27" s="1"/>
  <c r="U2" i="29"/>
  <c r="S2" i="29"/>
  <c r="Q2" i="29"/>
  <c r="U2" i="30"/>
  <c r="S2" i="30"/>
  <c r="Q2" i="30"/>
  <c r="G33" i="9" l="1"/>
  <c r="U24" i="27" s="1"/>
  <c r="D77" i="8"/>
  <c r="R68" i="26" s="1"/>
  <c r="F77" i="8"/>
  <c r="T68" i="26" s="1"/>
  <c r="G9" i="8"/>
  <c r="U3" i="26"/>
  <c r="F159" i="6"/>
  <c r="T150" i="24" s="1"/>
  <c r="T2" i="24"/>
  <c r="R2" i="24"/>
  <c r="R34" i="20"/>
  <c r="D70" i="5"/>
  <c r="T34" i="20"/>
  <c r="F70" i="5"/>
  <c r="G42" i="5"/>
  <c r="U35" i="20" s="1"/>
  <c r="U34" i="20"/>
  <c r="P38" i="18"/>
  <c r="B74" i="4"/>
  <c r="P39" i="18" s="1"/>
  <c r="R38" i="18"/>
  <c r="D74" i="4"/>
  <c r="R39" i="18" s="1"/>
  <c r="G20" i="2"/>
  <c r="U13" i="16" s="1"/>
  <c r="U3" i="16"/>
  <c r="Q95" i="15"/>
  <c r="C62" i="1"/>
  <c r="Q54" i="15" s="1"/>
  <c r="C20" i="2"/>
  <c r="Q13" i="16" s="1"/>
  <c r="Q3" i="16"/>
  <c r="U2" i="24"/>
  <c r="G159" i="6"/>
  <c r="U150" i="24" s="1"/>
  <c r="E59" i="1"/>
  <c r="P95" i="15"/>
  <c r="B33" i="4"/>
  <c r="P18" i="18" s="1"/>
  <c r="P14" i="18"/>
  <c r="R2" i="18"/>
  <c r="D21" i="4"/>
  <c r="S2" i="24"/>
  <c r="E159" i="6"/>
  <c r="S150" i="24" s="1"/>
  <c r="B70" i="5"/>
  <c r="P56" i="20"/>
  <c r="Q119" i="15"/>
  <c r="F81" i="1"/>
  <c r="Q120" i="15" s="1"/>
  <c r="D20" i="2"/>
  <c r="R13" i="16" s="1"/>
  <c r="R3" i="16"/>
  <c r="Q2" i="24"/>
  <c r="C159" i="6"/>
  <c r="Q150" i="24" s="1"/>
  <c r="G65" i="5"/>
  <c r="U37" i="20"/>
  <c r="C21" i="4"/>
  <c r="Q2" i="18"/>
  <c r="U2" i="26" l="1"/>
  <c r="G77" i="8"/>
  <c r="U68" i="26" s="1"/>
  <c r="C23" i="4"/>
  <c r="Q12" i="18"/>
  <c r="U56" i="20"/>
  <c r="G70" i="5"/>
  <c r="E81" i="1"/>
  <c r="P120" i="15" s="1"/>
  <c r="P104" i="15"/>
  <c r="D23" i="4"/>
  <c r="R12" i="18"/>
  <c r="D25" i="4" l="1"/>
  <c r="R13" i="18"/>
  <c r="C25" i="4"/>
  <c r="Q13" i="18"/>
  <c r="C33" i="4" l="1"/>
  <c r="Q18" i="18" s="1"/>
  <c r="Q14" i="18"/>
  <c r="R14" i="18"/>
  <c r="D33" i="4"/>
  <c r="R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<sst xmlns="http://schemas.openxmlformats.org/spreadsheetml/2006/main" count="4243" uniqueCount="3305">
  <si>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</si>
  <si>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</si>
  <si>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</si>
  <si>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</si>
  <si>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</si>
  <si>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</si>
  <si>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</si>
  <si>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</si>
  <si>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</si>
  <si>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</si>
  <si>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</si>
  <si>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</si>
  <si>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</si>
  <si>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</si>
  <si>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</si>
  <si>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</si>
  <si>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</si>
  <si>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</si>
  <si>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</si>
  <si>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</si>
  <si>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</si>
  <si>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</si>
  <si>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</si>
  <si>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</si>
  <si>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</si>
  <si>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</si>
  <si>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</si>
  <si>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</si>
  <si>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</si>
  <si>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</si>
  <si>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</si>
  <si>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</si>
  <si>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</si>
  <si>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</si>
  <si>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</si>
  <si>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</si>
  <si>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</si>
  <si>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</si>
  <si>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</si>
  <si>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</si>
  <si>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</si>
  <si>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</si>
  <si>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</si>
  <si>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</si>
  <si>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</si>
  <si>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</si>
  <si>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</si>
  <si>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</si>
  <si>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</si>
  <si>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</si>
  <si>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</si>
  <si>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</si>
  <si>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</si>
  <si>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</si>
  <si>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</si>
  <si>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</si>
  <si>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</si>
  <si>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</si>
  <si>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</si>
  <si>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</si>
  <si>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</si>
  <si>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</si>
  <si>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</si>
  <si>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</si>
  <si>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</si>
  <si>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</si>
  <si>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</si>
  <si>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</si>
  <si>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</si>
  <si>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</si>
  <si>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</si>
  <si>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</si>
  <si>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</si>
  <si>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</si>
  <si>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</si>
  <si>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</si>
  <si>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</si>
  <si>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</si>
  <si>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</si>
  <si>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</si>
  <si>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</si>
  <si>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</si>
  <si>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</si>
  <si>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</si>
  <si>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</si>
  <si>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</si>
  <si>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</si>
  <si>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</si>
  <si>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</si>
  <si>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</si>
  <si>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</si>
  <si>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</si>
  <si>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</si>
  <si>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</si>
  <si>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</si>
  <si>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</si>
  <si>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</si>
  <si>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</si>
  <si>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</si>
  <si>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</si>
  <si>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</si>
  <si>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</si>
  <si>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</si>
  <si>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</si>
  <si>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</si>
  <si>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</si>
  <si>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</si>
  <si>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</si>
  <si>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</si>
  <si>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</si>
  <si>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</si>
  <si>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</si>
  <si>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</si>
  <si>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</si>
  <si>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</si>
  <si>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</si>
  <si>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</si>
  <si>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</si>
  <si>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</si>
  <si>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</si>
  <si>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</si>
  <si>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</si>
  <si>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</si>
  <si>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</si>
  <si>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</si>
  <si>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</si>
  <si>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</si>
  <si>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</si>
  <si>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</si>
  <si>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</si>
  <si>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</si>
  <si>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</si>
  <si>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</si>
  <si>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</si>
  <si>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</si>
  <si>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</si>
  <si>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</si>
  <si>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</si>
  <si>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</si>
  <si>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</si>
  <si>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</si>
  <si>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</si>
  <si>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</si>
  <si>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</si>
  <si>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</si>
  <si>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</si>
  <si>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</si>
  <si>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</si>
  <si>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</si>
  <si>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</si>
  <si>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</si>
  <si>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</si>
  <si>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</si>
  <si>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</si>
  <si>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</si>
  <si>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</si>
  <si>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</si>
  <si>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</si>
  <si>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</si>
  <si>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</si>
  <si>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</si>
  <si>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</si>
  <si>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</si>
  <si>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</si>
  <si>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</si>
  <si>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</si>
  <si>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</si>
  <si>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</si>
  <si>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</si>
  <si>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</si>
  <si>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</si>
  <si>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</si>
  <si>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</si>
  <si>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</si>
  <si>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</si>
  <si>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</si>
  <si>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</si>
  <si>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</si>
  <si>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</si>
  <si>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</si>
  <si>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</si>
  <si>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</si>
  <si>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</si>
  <si>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</si>
  <si>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</si>
  <si>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</si>
  <si>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</si>
  <si>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</si>
  <si>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</si>
  <si>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</si>
  <si>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</si>
  <si>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</si>
  <si>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</si>
  <si>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</si>
  <si>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</si>
  <si>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</si>
  <si>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</si>
  <si>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</si>
  <si>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</si>
  <si>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</si>
  <si>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</si>
  <si>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</si>
  <si>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</si>
  <si>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</si>
  <si>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</si>
  <si>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</si>
  <si>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</si>
  <si>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</si>
  <si>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</si>
  <si>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</si>
  <si>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</si>
  <si>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</si>
  <si>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</si>
  <si>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</si>
  <si>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</si>
  <si>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</si>
  <si>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</si>
  <si>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</si>
  <si>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</si>
  <si>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</si>
  <si>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</si>
  <si>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</si>
  <si>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</si>
  <si>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</si>
  <si>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</si>
  <si>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</si>
  <si>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</si>
  <si>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</si>
  <si>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</si>
  <si>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</si>
  <si>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</si>
  <si>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</si>
  <si>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</si>
  <si>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</si>
  <si>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</si>
  <si>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</si>
  <si>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</si>
  <si>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</si>
  <si>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</si>
  <si>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</si>
  <si>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</si>
  <si>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</si>
  <si>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</si>
  <si>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</si>
  <si>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</si>
  <si>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</si>
  <si>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</si>
  <si>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</si>
  <si>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</si>
  <si>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</si>
  <si>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</si>
  <si>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</si>
  <si>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</si>
  <si>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</si>
  <si>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</si>
  <si>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</si>
  <si>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</si>
  <si>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</si>
  <si>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</si>
  <si>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</si>
  <si>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</si>
  <si>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</si>
  <si>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</si>
  <si>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</si>
  <si>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</si>
  <si>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</si>
  <si>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</si>
  <si>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</si>
  <si>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</si>
  <si>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</si>
  <si>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</si>
  <si>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</si>
  <si>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</si>
  <si>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</si>
  <si>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</si>
  <si>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</si>
  <si>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</si>
  <si>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</si>
  <si>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</si>
  <si>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</si>
  <si>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</si>
  <si>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</si>
  <si>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</si>
  <si>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</si>
  <si>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</si>
  <si>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</si>
  <si>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</si>
  <si>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</si>
  <si>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</si>
  <si>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</si>
  <si>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</si>
  <si>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</si>
  <si>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</si>
  <si>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</si>
  <si>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</si>
  <si>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</si>
  <si>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</si>
  <si>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</si>
  <si>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</si>
  <si>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</si>
  <si>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</si>
  <si>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</si>
  <si>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</si>
  <si>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</si>
  <si>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</si>
  <si>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</si>
  <si>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</si>
  <si>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</si>
  <si>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</si>
  <si>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</si>
  <si>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</si>
  <si>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</si>
  <si>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</si>
  <si>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</si>
  <si>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</si>
  <si>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</si>
  <si>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</si>
  <si>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</si>
  <si>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</si>
  <si>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</si>
  <si>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</si>
  <si>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</si>
  <si>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</si>
  <si>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</si>
  <si>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</si>
  <si>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</si>
  <si>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</si>
  <si>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</si>
  <si>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</si>
  <si>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</si>
  <si>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</si>
  <si>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</si>
  <si>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</si>
  <si>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</si>
  <si>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</si>
  <si>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</si>
  <si>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</si>
  <si>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</si>
  <si>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</si>
  <si>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</si>
  <si>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</si>
  <si>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</si>
  <si>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</si>
  <si>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</si>
  <si>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</si>
  <si>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</si>
  <si>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</si>
  <si>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</si>
  <si>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</si>
  <si>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</si>
  <si>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</si>
  <si>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</si>
  <si>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</si>
  <si>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</si>
  <si>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</si>
  <si>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</si>
  <si>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</si>
  <si>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</si>
  <si>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</si>
  <si>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</si>
  <si>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</si>
  <si>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</si>
  <si>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</si>
  <si>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</si>
  <si>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</si>
  <si>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</si>
  <si>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</si>
  <si>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</si>
  <si>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</si>
  <si>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</si>
  <si>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</si>
  <si>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</si>
  <si>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</si>
  <si>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</si>
  <si>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</si>
  <si>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</si>
  <si>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</si>
  <si>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</si>
  <si>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</si>
  <si>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</si>
  <si>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</si>
  <si>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</si>
  <si>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</si>
  <si>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</si>
  <si>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</si>
  <si>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</si>
  <si>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</si>
  <si>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</si>
  <si>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</si>
  <si>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</si>
  <si>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</si>
  <si>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</si>
  <si>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</si>
  <si>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</si>
  <si>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</si>
  <si>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</si>
  <si>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</si>
  <si>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</si>
  <si>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</si>
  <si>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</si>
  <si>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</si>
  <si>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</si>
  <si>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</si>
  <si>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</si>
  <si>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</si>
  <si>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</si>
  <si>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</si>
  <si>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</si>
  <si>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</si>
  <si>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</si>
  <si>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</si>
  <si>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</si>
  <si>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</si>
  <si>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</si>
  <si>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</si>
  <si>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</si>
  <si>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</si>
  <si>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</si>
  <si>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</si>
  <si>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</si>
  <si>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</si>
  <si>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</si>
  <si>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</si>
  <si>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</si>
  <si>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</si>
  <si>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</si>
  <si>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</si>
  <si>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</si>
  <si>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</si>
  <si>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</si>
  <si>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</si>
  <si>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</si>
  <si>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</si>
  <si>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</si>
  <si>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</si>
  <si>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</si>
  <si>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</si>
  <si>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</si>
  <si>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</si>
  <si>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</si>
  <si>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</si>
  <si>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</si>
  <si>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</si>
  <si>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</si>
  <si>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</si>
  <si>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</si>
  <si>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</si>
  <si>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</si>
  <si>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</si>
  <si>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</si>
  <si>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</si>
  <si>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</si>
  <si>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</si>
  <si>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</si>
  <si>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</si>
  <si>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</si>
  <si>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</si>
  <si>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</si>
  <si>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</si>
  <si>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</si>
  <si>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</si>
  <si>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</si>
  <si>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</si>
  <si>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</si>
  <si>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</si>
  <si>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</si>
  <si>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</si>
  <si>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</si>
  <si>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</si>
  <si>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</si>
  <si>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</si>
  <si>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</si>
  <si>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</si>
  <si>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</si>
  <si>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</si>
  <si>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</si>
  <si>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</si>
  <si>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</si>
  <si>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</si>
  <si>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</si>
  <si>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</si>
  <si>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</si>
  <si>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</si>
  <si>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</si>
  <si>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</si>
  <si>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</si>
  <si>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</si>
  <si>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</si>
  <si>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</si>
  <si>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</si>
  <si>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</si>
  <si>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</si>
  <si>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</si>
  <si>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</si>
  <si>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</si>
  <si>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</si>
  <si>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</si>
  <si>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</si>
  <si>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</si>
  <si>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</si>
  <si>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</si>
  <si>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</si>
  <si>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</si>
  <si>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</si>
  <si>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</si>
  <si>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</si>
  <si>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</si>
  <si>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</si>
  <si>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</si>
  <si>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</si>
  <si>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</si>
  <si>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</si>
  <si>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</si>
  <si>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</si>
  <si>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</si>
  <si>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</si>
  <si>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</si>
  <si>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</si>
  <si>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</si>
  <si>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</si>
  <si>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</si>
  <si>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</si>
  <si>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</si>
  <si>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</si>
  <si>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</si>
  <si>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</si>
  <si>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</si>
  <si>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</si>
  <si>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</si>
  <si>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</si>
  <si>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</si>
  <si>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</si>
  <si>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</si>
  <si>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</si>
  <si>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</si>
  <si>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</si>
  <si>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</si>
  <si>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</si>
  <si>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</si>
  <si>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</si>
  <si>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</si>
  <si>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</si>
  <si>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</si>
  <si>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</si>
  <si>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</si>
  <si>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</si>
  <si>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</si>
  <si>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</si>
  <si>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</si>
  <si>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</si>
  <si>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</si>
  <si>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</si>
  <si>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</si>
  <si>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</si>
  <si>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</si>
  <si>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</si>
  <si>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</si>
  <si>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</si>
  <si>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</si>
  <si>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</si>
  <si>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</si>
  <si>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</si>
  <si>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</si>
  <si>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</si>
  <si>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</si>
  <si>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</si>
  <si>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</si>
  <si>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</si>
  <si>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</si>
  <si>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</si>
  <si>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</si>
  <si>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</si>
  <si>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</si>
  <si>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</si>
  <si>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</si>
  <si>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</si>
  <si>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</si>
  <si>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</si>
  <si>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</si>
  <si>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</si>
  <si>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</si>
  <si>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</si>
  <si>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</si>
  <si>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</si>
  <si>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</si>
  <si>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</si>
  <si>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</si>
  <si>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</si>
  <si>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</si>
  <si>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</si>
  <si>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</si>
  <si>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</si>
  <si>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</si>
  <si>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</si>
  <si>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</si>
  <si>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</si>
  <si>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</si>
  <si>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</si>
  <si>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</si>
  <si>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</si>
  <si>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</si>
  <si>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</si>
  <si>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</si>
  <si>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</si>
  <si>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</si>
  <si>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</si>
  <si>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</si>
  <si>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</si>
  <si>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</si>
  <si>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</si>
  <si>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</si>
  <si>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</si>
  <si>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</si>
  <si>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</si>
  <si>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</si>
  <si>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</si>
  <si>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</si>
  <si>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</si>
  <si>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</si>
  <si>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</si>
  <si>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</si>
  <si>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</si>
  <si>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</si>
  <si>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</si>
  <si>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</si>
  <si>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</si>
  <si>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</si>
  <si>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</si>
  <si>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</si>
  <si>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</si>
  <si>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</si>
  <si>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</si>
  <si>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</si>
  <si>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</si>
  <si>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</si>
  <si>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</si>
  <si>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</si>
  <si>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</si>
  <si>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</si>
  <si>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</si>
  <si>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</si>
  <si>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</si>
  <si>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</si>
  <si>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</si>
  <si>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</si>
  <si>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</si>
  <si>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</si>
  <si>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</si>
  <si>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</si>
  <si>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</si>
  <si>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</si>
  <si>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</si>
  <si>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</si>
  <si>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</si>
  <si>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</si>
  <si>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</si>
  <si>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</si>
  <si>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</si>
  <si>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</si>
  <si>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</si>
  <si>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</si>
  <si>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</si>
  <si>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</si>
  <si>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</si>
  <si>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</si>
  <si>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</si>
  <si>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</si>
  <si>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</si>
  <si>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</si>
  <si>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</si>
  <si>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</si>
  <si>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</si>
  <si>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</si>
  <si>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</si>
  <si>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</si>
  <si>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</si>
  <si>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</si>
  <si>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</si>
  <si>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</si>
  <si>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</si>
  <si>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</si>
  <si>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</si>
  <si>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</si>
  <si>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</si>
  <si>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</si>
  <si>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</si>
  <si>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</si>
  <si>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</si>
  <si>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</si>
  <si>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</si>
  <si>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</si>
  <si>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</si>
  <si>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</si>
  <si>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</si>
  <si>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</si>
  <si>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</si>
  <si>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</si>
  <si>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</si>
  <si>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</si>
  <si>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</si>
  <si>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</si>
  <si>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</si>
  <si>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</si>
  <si>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</si>
  <si>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</si>
  <si>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</si>
  <si>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</si>
  <si>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</si>
  <si>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</si>
  <si>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</si>
  <si>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</si>
  <si>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</si>
  <si>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</si>
  <si>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</si>
  <si>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</si>
  <si>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</si>
  <si>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</si>
  <si>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</si>
  <si>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</si>
  <si>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</si>
  <si>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</si>
  <si>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</si>
  <si>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</si>
  <si>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</si>
  <si>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</si>
  <si>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</si>
  <si>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</si>
  <si>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</si>
  <si>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</si>
  <si>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</si>
  <si>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</si>
  <si>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</si>
  <si>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</si>
  <si>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</si>
  <si>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</si>
  <si>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</si>
  <si>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</si>
  <si>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</si>
  <si>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</si>
  <si>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</si>
  <si>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</si>
  <si>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</si>
  <si>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</si>
  <si>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</si>
  <si>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</si>
  <si>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</si>
  <si>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</si>
  <si>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</si>
  <si>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</si>
  <si>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</si>
  <si>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</si>
  <si>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</si>
  <si>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</si>
  <si>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</si>
  <si>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</si>
  <si>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</si>
  <si>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</si>
  <si>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</si>
  <si>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</si>
  <si>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</si>
  <si>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</si>
  <si>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</si>
  <si>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</si>
  <si>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</si>
  <si>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</si>
  <si>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</si>
  <si>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</si>
  <si>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</si>
  <si>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</si>
  <si>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</si>
  <si>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</si>
  <si>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</si>
  <si>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</si>
  <si>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</si>
  <si>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</si>
  <si>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</si>
  <si>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</si>
  <si>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</si>
  <si>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</si>
  <si>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</si>
  <si>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</si>
  <si>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</si>
  <si>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</si>
  <si>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</si>
  <si>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</si>
  <si>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</si>
  <si>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</si>
  <si>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</si>
  <si>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</si>
  <si>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</si>
  <si>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</si>
  <si>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</si>
  <si>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</si>
  <si>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</si>
  <si>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</si>
  <si>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</si>
  <si>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</si>
  <si>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</si>
  <si>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</si>
  <si>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</si>
  <si>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</si>
  <si>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</si>
  <si>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</si>
  <si>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</si>
  <si>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</si>
  <si>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</si>
  <si>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</si>
  <si>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</si>
  <si>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</si>
  <si>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</si>
  <si>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</si>
  <si>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</si>
  <si>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</si>
  <si>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</si>
  <si>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</si>
  <si>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</si>
  <si>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</si>
  <si>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</si>
  <si>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</si>
  <si>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</si>
  <si>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</si>
  <si>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</si>
  <si>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</si>
  <si>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</si>
  <si>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</si>
  <si>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</si>
  <si>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</si>
  <si>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</si>
  <si>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</si>
  <si>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</si>
  <si>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</si>
  <si>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</si>
  <si>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</si>
  <si>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</si>
  <si>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</si>
  <si>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</si>
  <si>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</si>
  <si>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</si>
  <si>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</si>
  <si>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</si>
  <si>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</si>
  <si>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</si>
  <si>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</si>
  <si>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</si>
  <si>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</si>
  <si>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</si>
  <si>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</si>
  <si>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</si>
  <si>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</si>
  <si>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</si>
  <si>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</si>
  <si>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</si>
  <si>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</si>
  <si>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</si>
  <si>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</si>
  <si>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</si>
  <si>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</si>
  <si>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</si>
  <si>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</si>
  <si>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</si>
  <si>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</si>
  <si>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</si>
  <si>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</si>
  <si>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</si>
  <si>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</si>
  <si>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</si>
  <si>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</si>
  <si>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</si>
  <si>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</si>
  <si>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</si>
  <si>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</si>
  <si>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</si>
  <si>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</si>
  <si>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</si>
  <si>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</si>
  <si>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</si>
  <si>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</si>
  <si>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</si>
  <si>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</si>
  <si>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</si>
  <si>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</si>
  <si>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</si>
  <si>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</si>
  <si>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</si>
  <si>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</si>
  <si>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</si>
  <si>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</si>
  <si>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</si>
  <si>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</si>
  <si>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</si>
  <si>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</si>
  <si>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</si>
  <si>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</si>
  <si>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</si>
  <si>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</si>
  <si>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</si>
  <si>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</si>
  <si>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</si>
  <si>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</si>
  <si>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</si>
  <si>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</si>
  <si>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</si>
  <si>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</si>
  <si>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</si>
  <si>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</si>
  <si>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</si>
  <si>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</si>
  <si>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</si>
  <si>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</si>
  <si>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</si>
  <si>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</si>
  <si>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</si>
  <si>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</si>
  <si>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</si>
  <si>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</si>
  <si>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</si>
  <si>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</si>
  <si>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</si>
  <si>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</si>
  <si>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</si>
  <si>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</si>
  <si>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</si>
  <si>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</si>
  <si>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</si>
  <si>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</si>
  <si>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</si>
  <si>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</si>
  <si>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</si>
  <si>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</si>
  <si>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</si>
  <si>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</si>
  <si>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</si>
  <si>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</si>
  <si>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</si>
  <si>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</si>
  <si>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</si>
  <si>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</si>
  <si>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</si>
  <si>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</si>
  <si>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</si>
  <si>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</si>
  <si>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</si>
  <si>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</si>
  <si>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</si>
  <si>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</si>
  <si>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</si>
  <si>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</si>
  <si>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</si>
  <si>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</si>
  <si>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</si>
  <si>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</si>
  <si>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</si>
  <si>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</si>
  <si>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</si>
  <si>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</si>
  <si>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</si>
  <si>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</si>
  <si>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</si>
  <si>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</si>
  <si>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</si>
  <si>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</si>
  <si>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</si>
  <si>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</si>
  <si>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</si>
  <si>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</si>
  <si>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</si>
  <si>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</si>
  <si>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</si>
  <si>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</si>
  <si>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</si>
  <si>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</si>
  <si>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</si>
  <si>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</si>
  <si>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</si>
  <si>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</si>
  <si>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</si>
  <si>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</si>
  <si>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</si>
  <si>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</si>
  <si>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</si>
  <si>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</si>
  <si>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</si>
  <si>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</si>
  <si>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</si>
  <si>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</si>
  <si>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</si>
  <si>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</si>
  <si>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</si>
  <si>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</si>
  <si>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</si>
  <si>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</si>
  <si>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</si>
  <si>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</si>
  <si>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</si>
  <si>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</si>
  <si>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</si>
  <si>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</si>
  <si>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</si>
  <si>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</si>
  <si>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</si>
  <si>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</si>
  <si>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</si>
  <si>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</si>
  <si>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</si>
  <si>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</si>
  <si>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</si>
  <si>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</si>
  <si>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</si>
  <si>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</si>
  <si>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</si>
  <si>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</si>
  <si>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</si>
  <si>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</si>
  <si>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</si>
  <si>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</si>
  <si>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</si>
  <si>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</si>
  <si>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</si>
  <si>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</si>
  <si>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</si>
  <si>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</si>
  <si>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</si>
  <si>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</si>
  <si>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</si>
  <si>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</si>
  <si>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</si>
  <si>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</si>
  <si>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</si>
  <si>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</si>
  <si>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</si>
  <si>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</si>
  <si>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</si>
  <si>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</si>
  <si>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</si>
  <si>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</si>
  <si>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</si>
  <si>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</si>
  <si>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</si>
  <si>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</si>
  <si>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</si>
  <si>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</si>
  <si>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</si>
  <si>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</si>
  <si>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</si>
  <si>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</si>
  <si>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</si>
  <si>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</si>
  <si>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</si>
  <si>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</si>
  <si>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</si>
  <si>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</si>
  <si>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</si>
  <si>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</si>
  <si>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</si>
  <si>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</si>
  <si>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</si>
  <si>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</si>
  <si>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</si>
  <si>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</si>
  <si>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</si>
  <si>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</si>
  <si>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</si>
  <si>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</si>
  <si>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</si>
  <si>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</si>
  <si>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</si>
  <si>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</si>
  <si>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</si>
  <si>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</si>
  <si>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</si>
  <si>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</si>
  <si>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</si>
  <si>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</si>
  <si>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</si>
  <si>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</si>
  <si>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</si>
  <si>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</si>
  <si>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</si>
  <si>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</si>
  <si>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</si>
  <si>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</si>
  <si>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</si>
  <si>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</si>
  <si>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</si>
  <si>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</si>
  <si>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</si>
  <si>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</si>
  <si>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</si>
  <si>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</si>
  <si>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</si>
  <si>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</si>
  <si>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</si>
  <si>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</si>
  <si>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</si>
  <si>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</si>
  <si>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</si>
  <si>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</si>
  <si>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</si>
  <si>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</si>
  <si>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</si>
  <si>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</si>
  <si>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</si>
  <si>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</si>
  <si>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</si>
  <si>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</si>
  <si>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</si>
  <si>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</si>
  <si>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</si>
  <si>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</si>
  <si>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</si>
  <si>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</si>
  <si>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</si>
  <si>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</si>
  <si>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</si>
  <si>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</si>
  <si>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</si>
  <si>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</si>
  <si>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</si>
  <si>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</si>
  <si>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</si>
  <si>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</si>
  <si>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</si>
  <si>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</si>
  <si>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</si>
  <si>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</si>
  <si>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</si>
  <si>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</si>
  <si>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</si>
  <si>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</si>
  <si>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</si>
  <si>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</si>
  <si>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</si>
  <si>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</si>
  <si>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</si>
  <si>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</si>
  <si>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</si>
  <si>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</si>
  <si>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</si>
  <si>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</si>
  <si>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</si>
  <si>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</si>
  <si>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</si>
  <si>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</si>
  <si>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</si>
  <si>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</si>
  <si>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</si>
  <si>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</si>
  <si>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</si>
  <si>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</si>
  <si>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</si>
  <si>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</si>
  <si>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</si>
  <si>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</si>
  <si>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</si>
  <si>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</si>
  <si>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</si>
  <si>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</si>
  <si>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</si>
  <si>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</si>
  <si>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</si>
  <si>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</si>
  <si>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</si>
  <si>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</si>
  <si>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</si>
  <si>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</si>
  <si>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</si>
  <si>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</si>
  <si>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</si>
  <si>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</si>
  <si>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</si>
  <si>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</si>
  <si>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</si>
  <si>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</si>
  <si>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</si>
  <si>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</si>
  <si>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</si>
  <si>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</si>
  <si>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</si>
  <si>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</si>
  <si>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</si>
  <si>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</si>
  <si>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</si>
  <si>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</si>
  <si>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</si>
  <si>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</si>
  <si>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</si>
  <si>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</si>
  <si>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</si>
  <si>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</si>
  <si>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</si>
  <si>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</si>
  <si>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</si>
  <si>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</si>
  <si>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</si>
  <si>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</si>
  <si>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</si>
  <si>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</si>
  <si>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</si>
  <si>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</si>
  <si>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</si>
  <si>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</si>
  <si>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</si>
  <si>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</si>
  <si>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</si>
  <si>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</si>
  <si>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</si>
  <si>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</si>
  <si>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</si>
  <si>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</si>
  <si>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</si>
  <si>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</si>
  <si>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</si>
  <si>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</si>
  <si>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</si>
  <si>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</si>
  <si>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</si>
  <si>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</si>
  <si>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</si>
  <si>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</si>
  <si>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</si>
  <si>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</si>
  <si>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</si>
  <si>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</si>
  <si>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</si>
  <si>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</si>
  <si>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</si>
  <si>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</si>
  <si>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</si>
  <si>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</si>
  <si>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</si>
  <si>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</si>
  <si>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</si>
  <si>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</si>
  <si>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</si>
  <si>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</si>
  <si>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</si>
  <si>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</si>
  <si>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</si>
  <si>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</si>
  <si>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</si>
  <si>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</si>
  <si>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</si>
  <si>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</si>
  <si>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</si>
  <si>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</si>
  <si>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</si>
  <si>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</si>
  <si>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</si>
  <si>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</si>
  <si>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</si>
  <si>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</si>
  <si>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</si>
  <si>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</si>
  <si>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</si>
  <si>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</si>
  <si>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</si>
  <si>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</si>
  <si>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</si>
  <si>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</si>
  <si>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</si>
  <si>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</si>
  <si>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</si>
  <si>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</si>
  <si>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</si>
  <si>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</si>
  <si>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</si>
  <si>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</si>
  <si>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</si>
  <si>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</si>
  <si>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</si>
  <si>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</si>
  <si>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</si>
  <si>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</si>
  <si>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</si>
  <si>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</si>
  <si>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</si>
  <si>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</si>
  <si>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</si>
  <si>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</si>
  <si>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</si>
  <si>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</si>
  <si>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</si>
  <si>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</si>
  <si>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</si>
  <si>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</si>
  <si>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</si>
  <si>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</si>
  <si>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</si>
  <si>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</si>
  <si>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</si>
  <si>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</si>
  <si>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</si>
  <si>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</si>
  <si>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</si>
  <si>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</si>
  <si>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</si>
  <si>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</si>
  <si>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</si>
  <si>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</si>
  <si>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</si>
  <si>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</si>
  <si>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</si>
  <si>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</si>
  <si>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</si>
  <si>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</si>
  <si>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</si>
  <si>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</si>
  <si>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</si>
  <si>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</si>
  <si>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</si>
  <si>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</si>
  <si>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</si>
  <si>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</si>
  <si>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</si>
  <si>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</si>
  <si>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</si>
  <si>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</si>
  <si>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</si>
  <si>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</si>
  <si>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</si>
  <si>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</si>
  <si>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</si>
  <si>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</si>
  <si>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</si>
  <si>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</si>
  <si>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</si>
  <si>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</si>
  <si>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</si>
  <si>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</si>
  <si>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</si>
  <si>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</si>
  <si>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</si>
  <si>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</si>
  <si>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</si>
  <si>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</si>
  <si>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</si>
  <si>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</si>
  <si>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</si>
  <si>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</si>
  <si>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</si>
  <si>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</si>
  <si>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</si>
  <si>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</si>
  <si>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</si>
  <si>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</si>
  <si>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</si>
  <si>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</si>
  <si>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</si>
  <si>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</si>
  <si>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</si>
  <si>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</si>
  <si>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</si>
  <si>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</si>
  <si>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</si>
  <si>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</si>
  <si>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</si>
  <si>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</si>
  <si>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</si>
  <si>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</si>
  <si>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</si>
  <si>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</si>
  <si>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</si>
  <si>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</si>
  <si>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</si>
  <si>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</si>
  <si>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</si>
  <si>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</si>
  <si>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</si>
  <si>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</si>
  <si>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</si>
  <si>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</si>
  <si>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</si>
  <si>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</si>
  <si>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</si>
  <si>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</si>
  <si>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</si>
  <si>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</si>
  <si>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</si>
  <si>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</si>
  <si>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</si>
  <si>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</si>
  <si>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</si>
  <si>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</si>
  <si>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</si>
  <si>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</si>
  <si>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</si>
  <si>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</si>
  <si>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</si>
  <si>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</si>
  <si>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</si>
  <si>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</si>
  <si>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</si>
  <si>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</si>
  <si>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</si>
  <si>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</si>
  <si>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</si>
  <si>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</si>
  <si>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</si>
  <si>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</si>
  <si>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</si>
  <si>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</si>
  <si>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</si>
  <si>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</si>
  <si>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</si>
  <si>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</si>
  <si>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</si>
  <si>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</si>
  <si>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</si>
  <si>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</si>
  <si>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</si>
  <si>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</si>
  <si>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</si>
  <si>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</si>
  <si>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</si>
  <si>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</si>
  <si>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</si>
  <si>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</si>
  <si>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</si>
  <si>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</si>
  <si>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</si>
  <si>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</si>
  <si>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</si>
  <si>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</si>
  <si>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</si>
  <si>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</si>
  <si>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</si>
  <si>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</si>
  <si>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</si>
  <si>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</si>
  <si>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</si>
  <si>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</si>
  <si>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</si>
  <si>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</si>
  <si>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</si>
  <si>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</si>
  <si>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</si>
  <si>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</si>
  <si>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</si>
  <si>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</si>
  <si>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</si>
  <si>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</si>
  <si>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</si>
  <si>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</si>
  <si>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</si>
  <si>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</si>
  <si>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</si>
  <si>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</si>
  <si>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</si>
  <si>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</si>
  <si>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</si>
  <si>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</si>
  <si>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</si>
  <si>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</si>
  <si>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</si>
  <si>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</si>
  <si>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</si>
  <si>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</si>
  <si>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</si>
  <si>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</si>
  <si>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</si>
  <si>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</si>
  <si>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</si>
  <si>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</si>
  <si>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</si>
  <si>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</si>
  <si>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</si>
  <si>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</si>
  <si>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</si>
  <si>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</si>
  <si>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</si>
  <si>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</si>
  <si>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</si>
  <si>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</si>
  <si>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</si>
  <si>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</si>
  <si>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</si>
  <si>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</si>
  <si>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</si>
  <si>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</si>
  <si>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</si>
  <si>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</si>
  <si>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</si>
  <si>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</si>
  <si>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</si>
  <si>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</si>
  <si>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</si>
  <si>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</si>
  <si>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</si>
  <si>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</si>
  <si>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</si>
  <si>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</si>
  <si>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</si>
  <si>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</si>
  <si>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</si>
  <si>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</si>
  <si>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</si>
  <si>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</si>
  <si>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</si>
  <si>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</si>
  <si>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</si>
  <si>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</si>
  <si>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</si>
  <si>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</si>
  <si>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</si>
  <si>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</si>
  <si>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</si>
  <si>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</si>
  <si>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</si>
  <si>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</si>
  <si>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</si>
  <si>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</si>
  <si>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</si>
  <si>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</si>
  <si>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</si>
  <si>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</si>
  <si>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</si>
  <si>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</si>
  <si>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</si>
  <si>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</si>
  <si>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</si>
  <si>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</si>
  <si>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</si>
  <si>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</si>
  <si>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</si>
  <si>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</si>
  <si>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</si>
  <si>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</si>
  <si>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</si>
  <si>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</si>
  <si>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</si>
  <si>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</si>
  <si>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</si>
  <si>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</si>
  <si>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</si>
  <si>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</si>
  <si>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</si>
  <si>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</si>
  <si>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</si>
  <si>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</si>
  <si>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</si>
  <si>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</si>
  <si>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</si>
  <si>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</si>
  <si>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</si>
  <si>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</si>
  <si>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</si>
  <si>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</si>
  <si>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</si>
  <si>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</si>
  <si>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</si>
  <si>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</si>
  <si>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</si>
  <si>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</si>
  <si>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</si>
  <si>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</si>
  <si>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</si>
  <si>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</si>
  <si>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</si>
  <si>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</si>
  <si>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</si>
  <si>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</si>
  <si>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</si>
  <si>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</si>
  <si>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</si>
  <si>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</si>
  <si>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</si>
  <si>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</si>
  <si>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</si>
  <si>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</si>
  <si>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</si>
  <si>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</si>
  <si>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</si>
  <si>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</si>
  <si>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</si>
  <si>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</si>
  <si>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</si>
  <si>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</si>
  <si>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</si>
  <si>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</si>
  <si>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</si>
  <si>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</si>
  <si>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</si>
  <si>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</si>
  <si>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</si>
  <si>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</si>
  <si>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</si>
  <si>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</si>
  <si>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</si>
  <si>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</si>
  <si>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</si>
  <si>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</si>
  <si>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</si>
  <si>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</si>
  <si>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</si>
  <si>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</si>
  <si>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</si>
  <si>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</si>
  <si>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</si>
  <si>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</si>
  <si>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</si>
  <si>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</si>
  <si>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</si>
  <si>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</si>
  <si>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</si>
  <si>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</si>
  <si>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</si>
  <si>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</si>
  <si>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</si>
  <si>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</si>
  <si>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</si>
  <si>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</si>
  <si>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</si>
  <si>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</si>
  <si>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</si>
  <si>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</si>
  <si>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</si>
  <si>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</si>
  <si>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</si>
  <si>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</si>
  <si>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</si>
  <si>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</si>
  <si>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</si>
  <si>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</si>
  <si>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</si>
  <si>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</si>
  <si>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</si>
  <si>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</si>
  <si>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</si>
  <si>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</si>
  <si>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</si>
  <si>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</si>
  <si>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</si>
  <si>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</si>
  <si>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</si>
  <si>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</si>
  <si>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</si>
  <si>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</si>
  <si>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</si>
  <si>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</si>
  <si>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</si>
  <si>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</si>
  <si>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</si>
  <si>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</si>
  <si>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</si>
  <si>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</si>
  <si>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</si>
  <si>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</si>
  <si>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</si>
  <si>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</si>
  <si>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</si>
  <si>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</si>
  <si>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</si>
  <si>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</si>
  <si>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</si>
  <si>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</si>
  <si>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</si>
  <si>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</si>
  <si>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</si>
  <si>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</si>
  <si>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</si>
  <si>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</si>
  <si>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</si>
  <si>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</si>
  <si>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</si>
  <si>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</si>
  <si>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</si>
  <si>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</si>
  <si>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</si>
  <si>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</si>
  <si>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</si>
  <si>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</si>
  <si>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</si>
  <si>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</si>
  <si>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</si>
  <si>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</si>
  <si>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</si>
  <si>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</si>
  <si>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</si>
  <si>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</si>
  <si>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</si>
  <si>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</si>
  <si>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</si>
  <si>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</si>
  <si>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</si>
  <si>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</si>
  <si>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</si>
  <si>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</si>
  <si>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</si>
  <si>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</si>
  <si>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</si>
  <si>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</si>
  <si>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</si>
  <si>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</si>
  <si>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</si>
  <si>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</si>
  <si>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</si>
  <si>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</si>
  <si>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</si>
  <si>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</si>
  <si>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</si>
  <si>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</si>
  <si>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</si>
  <si>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</si>
  <si>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</si>
  <si>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</si>
  <si>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</si>
  <si>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</si>
  <si>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</si>
  <si>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</si>
  <si>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</si>
  <si>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</si>
  <si>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</si>
  <si>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</si>
  <si>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</si>
  <si>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</si>
  <si>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</si>
  <si>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</si>
  <si>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</si>
  <si>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</si>
  <si>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</si>
  <si>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</si>
  <si>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</si>
  <si>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</si>
  <si>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</si>
  <si>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</si>
  <si>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</si>
  <si>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</si>
  <si>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</si>
  <si>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</si>
  <si>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</si>
  <si>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</si>
  <si>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</si>
  <si>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</si>
  <si>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</si>
  <si>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</si>
  <si>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</si>
  <si>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</si>
  <si>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</si>
  <si>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</si>
  <si>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</si>
  <si>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</si>
  <si>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</si>
  <si>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</si>
  <si>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</si>
  <si>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</si>
  <si>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</si>
  <si>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</si>
  <si>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</si>
  <si>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</si>
  <si>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</si>
  <si>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</si>
  <si>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</si>
  <si>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</si>
  <si>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</si>
  <si>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</si>
  <si>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</si>
  <si>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</si>
  <si>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</si>
  <si>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</si>
  <si>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</si>
  <si>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</si>
  <si>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</si>
  <si>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</si>
  <si>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</si>
  <si>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</si>
  <si>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</si>
  <si>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</si>
  <si>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</si>
  <si>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</si>
  <si>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</si>
  <si>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</si>
  <si>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</si>
  <si>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</si>
  <si>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</si>
  <si>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</si>
  <si>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</si>
  <si>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</si>
  <si>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</si>
  <si>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</si>
  <si>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</si>
  <si>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</si>
  <si>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</si>
  <si>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</si>
  <si>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</si>
  <si>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</si>
  <si>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</si>
  <si>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</si>
  <si>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</si>
  <si>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</si>
  <si>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</si>
  <si>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</si>
  <si>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</si>
  <si>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</si>
  <si>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</si>
  <si>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</si>
  <si>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</si>
  <si>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</si>
  <si>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</si>
  <si>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</si>
  <si>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</si>
  <si>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</si>
  <si>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</si>
  <si>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</si>
  <si>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</si>
  <si>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</si>
  <si>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</si>
  <si>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</si>
  <si>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</si>
  <si>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</si>
  <si>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</si>
  <si>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</si>
  <si>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</si>
  <si>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</si>
  <si>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</si>
  <si>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</si>
  <si>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</si>
  <si>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</si>
  <si>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</si>
  <si>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</si>
  <si>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</si>
  <si>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</si>
  <si>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</si>
  <si>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</si>
  <si>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</si>
  <si>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</si>
  <si>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</si>
  <si>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</si>
  <si>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</si>
  <si>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</si>
  <si>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</si>
  <si>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</si>
  <si>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</si>
  <si>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</si>
  <si>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</si>
  <si>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</si>
  <si>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</si>
  <si>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</si>
  <si>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</si>
  <si>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</si>
  <si>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</si>
  <si>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</si>
  <si>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</si>
  <si>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</si>
  <si>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</si>
  <si>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</si>
  <si>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</si>
  <si>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</si>
  <si>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</si>
  <si>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</si>
  <si>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</si>
  <si>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</si>
  <si>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</si>
  <si>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</si>
  <si>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</si>
  <si>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</si>
  <si>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</si>
  <si>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</si>
  <si>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</si>
  <si>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</si>
  <si>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</si>
  <si>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</si>
  <si>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</si>
  <si>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</si>
  <si>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</si>
  <si>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</si>
  <si>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</si>
  <si>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</si>
  <si>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</si>
  <si>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</si>
  <si>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</si>
  <si>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</si>
  <si>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</si>
  <si>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</si>
  <si>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</si>
  <si>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</si>
  <si>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</si>
  <si>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</si>
  <si>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</si>
  <si>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</si>
  <si>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</si>
  <si>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</si>
  <si>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</si>
  <si>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</si>
  <si>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</si>
  <si>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</si>
  <si>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</si>
  <si>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</si>
  <si>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</si>
  <si>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</si>
  <si>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</si>
  <si>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</si>
  <si>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</si>
  <si>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</si>
  <si>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</si>
  <si>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</si>
  <si>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</si>
  <si>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</si>
  <si>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</si>
  <si>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</si>
  <si>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</si>
  <si>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</si>
  <si>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</si>
  <si>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</si>
  <si>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</si>
  <si>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</si>
  <si>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</si>
  <si>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</si>
  <si>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</si>
  <si>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</si>
  <si>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</si>
  <si>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</si>
  <si>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</si>
  <si>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</si>
  <si>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</si>
  <si>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</si>
  <si>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</si>
  <si>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</si>
  <si>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</si>
  <si>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</si>
  <si>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</si>
  <si>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</si>
  <si>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</si>
  <si>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</si>
  <si>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</si>
  <si>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</si>
  <si>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</si>
  <si>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</si>
  <si>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</si>
  <si>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</si>
  <si>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</si>
  <si>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</si>
  <si>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</si>
  <si>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</si>
  <si>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</si>
  <si>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</si>
  <si>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</si>
  <si>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</si>
  <si>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</si>
  <si>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</si>
  <si>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</si>
  <si>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</si>
  <si>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</si>
  <si>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</si>
  <si>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</si>
  <si>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</si>
  <si>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</si>
  <si>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</si>
  <si>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</si>
  <si>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</si>
  <si>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</si>
  <si>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</si>
  <si>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</si>
  <si>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</si>
  <si>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</si>
  <si>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</si>
  <si>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</si>
  <si>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</si>
  <si>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</si>
  <si>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</si>
  <si>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</si>
  <si>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</si>
  <si>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</si>
  <si>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</si>
  <si>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</si>
  <si>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</si>
  <si>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</si>
  <si>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</si>
  <si>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</si>
  <si>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</si>
  <si>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</si>
  <si>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</si>
  <si>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</si>
  <si>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</si>
  <si>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</si>
  <si>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</si>
  <si>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</si>
  <si>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</si>
  <si>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</si>
  <si>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</si>
  <si>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</si>
  <si>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</si>
  <si>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</si>
  <si>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</si>
  <si>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</si>
  <si>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</si>
  <si>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</si>
  <si>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</si>
  <si>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</si>
  <si>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</si>
  <si>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</si>
  <si>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</si>
  <si>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</si>
  <si>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</si>
  <si>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</si>
  <si>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</si>
  <si>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</si>
  <si>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</si>
  <si>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</si>
  <si>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</si>
  <si>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</si>
  <si>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</si>
  <si>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</si>
  <si>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</si>
  <si>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</si>
  <si>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</si>
  <si>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</si>
  <si>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</si>
  <si>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</si>
  <si>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</si>
  <si>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</si>
  <si>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</si>
  <si>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</si>
  <si>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</si>
  <si>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</si>
  <si>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</si>
  <si>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</si>
  <si>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</si>
  <si>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</si>
  <si>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</si>
  <si>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</si>
  <si>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</si>
  <si>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</si>
  <si>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</si>
  <si>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</si>
  <si>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</si>
  <si>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</si>
  <si>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</si>
  <si>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</si>
  <si>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</si>
  <si>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</si>
  <si>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</si>
  <si>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</si>
  <si>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</si>
  <si>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</si>
  <si>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</si>
  <si>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</si>
  <si>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</si>
  <si>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</si>
  <si>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</si>
  <si>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</si>
  <si>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</si>
  <si>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</si>
  <si>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</si>
  <si>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</si>
  <si>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</si>
  <si>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</si>
  <si>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</si>
  <si>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</si>
  <si>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</si>
  <si>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</si>
  <si>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</si>
  <si>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</si>
  <si>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</si>
  <si>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</si>
  <si>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</si>
  <si>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</si>
  <si>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</si>
  <si>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</si>
  <si>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</si>
  <si>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</si>
  <si>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</si>
  <si>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</si>
  <si>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</si>
  <si>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</si>
  <si>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</si>
  <si>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</si>
  <si>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</si>
  <si>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</si>
  <si>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</si>
  <si>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</si>
  <si>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</si>
  <si>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</si>
  <si>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</si>
  <si>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</si>
  <si>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</si>
  <si>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</si>
  <si>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</si>
  <si>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</si>
  <si>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</si>
  <si>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</si>
  <si>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</si>
  <si>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</si>
  <si>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</si>
  <si>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</si>
  <si>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</si>
  <si>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</si>
  <si>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</si>
  <si>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</si>
  <si>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</si>
  <si>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</si>
  <si>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</si>
  <si>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</si>
  <si>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</si>
  <si>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</si>
  <si>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</si>
  <si>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</si>
  <si>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</si>
  <si>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</si>
  <si>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</si>
  <si>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</si>
  <si>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</si>
  <si>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</si>
  <si>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</si>
  <si>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</si>
  <si>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</si>
  <si>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</si>
  <si>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</si>
  <si>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</si>
  <si>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</si>
  <si>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</si>
  <si>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</si>
  <si>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</si>
  <si>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</si>
  <si>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</si>
  <si>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</si>
  <si>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</si>
  <si>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</si>
  <si>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</si>
  <si>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</si>
  <si>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</si>
  <si>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</si>
  <si>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</si>
  <si>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</si>
  <si>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</si>
  <si>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</si>
  <si>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</si>
  <si>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</si>
  <si>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</si>
  <si>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</si>
  <si>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</si>
  <si>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</si>
  <si>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</si>
  <si>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</si>
  <si>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</si>
  <si>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</si>
  <si>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</si>
  <si>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</si>
  <si>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</si>
  <si>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</si>
  <si>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</si>
  <si>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</si>
  <si>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</si>
  <si>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</si>
  <si>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</si>
  <si>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</si>
  <si>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</si>
  <si>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</si>
  <si>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</si>
  <si>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</si>
  <si>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</si>
  <si>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</si>
  <si>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</si>
  <si>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</si>
  <si>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</si>
  <si>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</si>
  <si>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</si>
  <si>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</si>
  <si>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</si>
  <si>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</si>
  <si>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</si>
  <si>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</si>
  <si>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</si>
  <si>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</si>
  <si>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</si>
  <si>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</si>
  <si>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</si>
  <si>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</si>
  <si>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</si>
  <si>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</si>
  <si>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</si>
  <si>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</si>
  <si>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</si>
  <si>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</si>
  <si>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</si>
  <si>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</si>
  <si>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</si>
  <si>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</si>
  <si>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</si>
  <si>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</si>
  <si>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</si>
  <si>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</si>
  <si>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</si>
  <si>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</si>
  <si>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</si>
  <si>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</si>
  <si>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</si>
  <si>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</si>
  <si>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</si>
  <si>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</si>
  <si>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</si>
  <si>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</si>
  <si>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</si>
  <si>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</si>
  <si>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</si>
  <si>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</si>
  <si>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</si>
  <si>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</si>
  <si>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</si>
  <si>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</si>
  <si>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</si>
  <si>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</si>
  <si>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</si>
  <si>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</si>
  <si>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</si>
  <si>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</si>
  <si>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</si>
  <si>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</si>
  <si>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</si>
  <si>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</si>
  <si>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</si>
  <si>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</si>
  <si>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</si>
  <si>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</si>
  <si>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</si>
  <si>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</si>
  <si>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</si>
  <si>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</si>
  <si>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</si>
  <si>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</si>
  <si>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</si>
  <si>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</si>
  <si>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</si>
  <si>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</si>
  <si>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</si>
  <si>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</si>
  <si>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</si>
  <si>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</si>
  <si>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</si>
  <si>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</si>
  <si>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</si>
  <si>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</si>
  <si>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</si>
  <si>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</si>
  <si>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</si>
  <si>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</si>
  <si>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</si>
  <si>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</si>
  <si>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</si>
  <si>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</si>
  <si>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</si>
  <si>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</si>
  <si>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</si>
  <si>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</si>
  <si>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</si>
  <si>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</si>
  <si>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</si>
  <si>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</si>
  <si>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</si>
  <si>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</si>
  <si>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</si>
  <si>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</si>
  <si>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</si>
  <si>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</si>
  <si>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</si>
  <si>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</si>
  <si>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</si>
  <si>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</si>
  <si>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</si>
  <si>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</si>
  <si>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</si>
  <si>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</si>
  <si>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</si>
  <si>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</si>
  <si>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</si>
  <si>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</si>
  <si>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</si>
  <si>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</si>
  <si>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</si>
  <si>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</si>
  <si>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</si>
  <si>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</si>
  <si>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</si>
  <si>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</si>
  <si>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</si>
  <si>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</si>
  <si>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</si>
  <si>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</si>
  <si>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</si>
  <si>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</si>
  <si>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</si>
  <si>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</si>
  <si>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</si>
  <si>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</si>
  <si>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</si>
  <si>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</si>
  <si>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</si>
  <si>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</si>
  <si>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</si>
  <si>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</si>
  <si>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</si>
  <si>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</si>
  <si>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</si>
  <si>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</si>
  <si>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</si>
  <si>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</si>
  <si>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</si>
  <si>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</si>
  <si>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</si>
  <si>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</si>
  <si>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</si>
  <si>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</si>
  <si>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</si>
  <si>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</si>
  <si>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</si>
  <si>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</si>
  <si>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</si>
  <si>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</si>
  <si>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</si>
  <si>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</si>
  <si>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</si>
  <si>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</si>
  <si>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</si>
  <si>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</si>
  <si>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</si>
  <si>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</si>
  <si>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</si>
  <si>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</si>
  <si>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</si>
  <si>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</si>
  <si>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</si>
  <si>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</si>
  <si>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</si>
  <si>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</si>
  <si>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</si>
  <si>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</si>
  <si>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</si>
  <si>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</si>
  <si>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</si>
  <si>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</si>
  <si>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</si>
  <si>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</si>
  <si>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</si>
  <si>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</si>
  <si>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</si>
  <si>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</si>
  <si>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</si>
  <si>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</si>
  <si>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</si>
  <si>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</si>
  <si>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</si>
  <si>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</si>
  <si>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</si>
  <si>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</si>
  <si>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</si>
  <si>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</si>
  <si>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</si>
  <si>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</si>
  <si>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</si>
  <si>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</si>
  <si>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</si>
  <si>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</si>
  <si>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</si>
  <si>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</si>
  <si>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</si>
  <si>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</si>
  <si>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</si>
  <si>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</si>
  <si>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</si>
  <si>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</si>
  <si>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</si>
  <si>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</si>
  <si>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</si>
  <si>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</si>
  <si>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</si>
  <si>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</si>
  <si>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</si>
  <si>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</si>
  <si>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</si>
  <si>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</si>
  <si>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</si>
  <si>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</si>
  <si>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</si>
  <si>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</si>
  <si>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</si>
  <si>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</si>
  <si>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</si>
  <si>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</si>
  <si>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</si>
  <si>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</si>
  <si>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</si>
  <si>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</si>
  <si>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</si>
  <si>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</si>
  <si>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</si>
  <si>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</si>
  <si>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</si>
  <si>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</si>
  <si>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</si>
  <si>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</si>
  <si>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</si>
  <si>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</si>
  <si>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</si>
  <si>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</si>
  <si>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</si>
  <si>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</si>
  <si>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</si>
  <si>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</si>
  <si>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</si>
  <si>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</si>
  <si>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</si>
  <si>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</si>
  <si>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</si>
  <si>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</si>
  <si>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</si>
  <si>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</si>
  <si>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</si>
  <si>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</si>
  <si>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</si>
  <si>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</si>
  <si>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</si>
  <si>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</si>
  <si>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</si>
  <si>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</si>
  <si>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</si>
  <si>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</si>
  <si>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</si>
  <si>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</si>
  <si>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</si>
  <si>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</si>
  <si>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</si>
  <si>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</si>
  <si>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</si>
  <si>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</si>
  <si>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</si>
  <si>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</si>
  <si>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</si>
  <si>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</si>
  <si>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</si>
  <si>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</si>
  <si>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</si>
  <si>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</si>
  <si>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</si>
  <si>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</si>
  <si>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</si>
  <si>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</si>
  <si>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</si>
  <si>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</si>
  <si>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</si>
  <si>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</si>
  <si>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</si>
  <si>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</si>
  <si>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</si>
  <si>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</si>
  <si>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</si>
  <si>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</si>
  <si>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</si>
  <si>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</si>
  <si>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</si>
  <si>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</si>
  <si>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</si>
  <si>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</si>
  <si>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</si>
  <si>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</si>
  <si>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</si>
  <si>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</si>
  <si>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</si>
  <si>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</si>
  <si>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</si>
  <si>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</si>
  <si>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</si>
  <si>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</si>
  <si>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</si>
  <si>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</si>
  <si>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</si>
  <si>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</si>
  <si>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</si>
  <si>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</si>
  <si>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</si>
  <si>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</si>
  <si>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</si>
  <si>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</si>
  <si>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</si>
  <si>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</si>
  <si>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</si>
  <si>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</si>
  <si>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</si>
  <si>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</si>
  <si>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</si>
  <si>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</si>
  <si>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</si>
  <si>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</si>
  <si>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</si>
  <si>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</si>
  <si>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</si>
  <si>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</si>
  <si>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</si>
  <si>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</si>
  <si>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</si>
  <si>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</si>
  <si>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</si>
  <si>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</si>
  <si>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</si>
  <si>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</si>
  <si>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</si>
  <si>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</si>
  <si>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</si>
  <si>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</si>
  <si>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</si>
  <si>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</si>
  <si>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</si>
  <si>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</si>
  <si>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</si>
  <si>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</si>
  <si>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</si>
  <si>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</si>
  <si>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</si>
  <si>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</si>
  <si>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</si>
  <si>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</si>
  <si>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</si>
  <si>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</si>
  <si>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</si>
  <si>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</si>
  <si>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</si>
  <si>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</si>
  <si>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</si>
  <si>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</si>
  <si>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</si>
  <si>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</si>
  <si>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</si>
  <si>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</si>
  <si>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</si>
  <si>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</si>
  <si>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</si>
  <si>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</si>
  <si>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</si>
  <si>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</si>
  <si>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</si>
  <si>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</si>
  <si>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</si>
  <si>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</si>
  <si>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</si>
  <si>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</si>
  <si>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</si>
  <si>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</si>
  <si>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</si>
  <si>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</si>
  <si>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</si>
  <si>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</si>
  <si>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</si>
  <si>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</si>
  <si>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</si>
  <si>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</si>
  <si>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</si>
  <si>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</si>
  <si>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</si>
  <si>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</si>
  <si>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</si>
  <si>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</si>
  <si>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</si>
  <si>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</si>
  <si>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</si>
  <si>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</si>
  <si>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</si>
  <si>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</si>
  <si>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</si>
  <si>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</si>
  <si>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</si>
  <si>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</si>
  <si>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</si>
  <si>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</si>
  <si>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</si>
  <si>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</si>
  <si>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</si>
  <si>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</si>
  <si>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</si>
  <si>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</si>
  <si>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</si>
  <si>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</si>
  <si>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</si>
  <si>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</si>
  <si>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</si>
  <si>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</si>
  <si>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</si>
  <si>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</si>
  <si>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</si>
  <si>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</si>
  <si>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</si>
  <si>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</si>
  <si>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</si>
  <si>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</si>
  <si>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</si>
  <si>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</si>
  <si>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</si>
  <si>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</si>
  <si>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</si>
  <si>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</si>
  <si>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</si>
  <si>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</si>
  <si>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</si>
  <si>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</si>
  <si>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</si>
  <si>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</si>
  <si>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</si>
  <si>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</si>
  <si>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</si>
  <si>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</si>
  <si>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</si>
  <si>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</si>
  <si>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</si>
  <si>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</si>
  <si>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</si>
  <si>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</si>
  <si>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</si>
  <si>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</si>
  <si>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</si>
  <si>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</si>
  <si>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</si>
  <si>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</si>
  <si>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</si>
  <si>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</si>
  <si>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</si>
  <si>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</si>
  <si>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</si>
  <si>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</si>
  <si>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</si>
  <si>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</si>
  <si>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</si>
  <si>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</si>
  <si>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</si>
  <si>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</si>
  <si>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</si>
  <si>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</si>
  <si>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</si>
  <si>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</si>
  <si>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</si>
  <si>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</si>
  <si>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</si>
  <si>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</si>
  <si>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</si>
  <si>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</si>
  <si>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</si>
  <si>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</si>
  <si>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</si>
  <si>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</si>
  <si>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</si>
  <si>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</si>
  <si>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</si>
  <si>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</si>
  <si>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</si>
  <si>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</si>
  <si>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</si>
  <si>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</si>
  <si>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</si>
  <si>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</si>
  <si>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</si>
  <si>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</si>
  <si>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</si>
  <si>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</si>
  <si>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</si>
  <si>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</si>
  <si>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</si>
  <si>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</si>
  <si>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</si>
  <si>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</si>
  <si>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</si>
  <si>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</si>
  <si>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</si>
  <si>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</si>
  <si>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</si>
  <si>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</si>
  <si>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</si>
  <si>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</si>
  <si>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</si>
  <si>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</si>
  <si>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</si>
  <si>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</si>
  <si>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</si>
  <si>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</si>
  <si>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</si>
  <si>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</si>
  <si>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</si>
  <si>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</si>
  <si>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</si>
  <si>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</si>
  <si>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</si>
  <si>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</si>
  <si>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</si>
  <si>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</si>
  <si>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</si>
  <si>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</si>
  <si>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</si>
  <si>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</si>
  <si>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</si>
  <si>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</si>
  <si>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</si>
  <si>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</si>
  <si>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</si>
  <si>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</si>
  <si>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</si>
  <si>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</si>
  <si>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</si>
  <si>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</si>
  <si>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</si>
  <si>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</si>
  <si>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</si>
  <si>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</si>
  <si>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</si>
  <si>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</si>
  <si>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</si>
  <si>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</si>
  <si>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</si>
  <si>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</si>
  <si>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</si>
  <si>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</si>
  <si>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</si>
  <si>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</si>
  <si>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</si>
  <si>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</si>
  <si>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</si>
  <si>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</si>
  <si>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</si>
  <si>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</si>
  <si>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</si>
  <si>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</si>
  <si>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</si>
  <si>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</si>
  <si>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</si>
  <si>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</si>
  <si>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</si>
  <si>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</si>
  <si>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</si>
  <si>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</si>
  <si>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</si>
  <si>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</si>
  <si>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</si>
  <si>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</si>
  <si>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</si>
  <si>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</si>
  <si>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</si>
  <si>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</si>
  <si>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</si>
  <si>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</si>
  <si>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</si>
  <si>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</si>
  <si>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</si>
  <si>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</si>
  <si>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</si>
  <si>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</si>
  <si>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</si>
  <si>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</si>
  <si>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</si>
  <si>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</si>
  <si>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</si>
  <si>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</si>
  <si>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</si>
  <si>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</si>
  <si>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</si>
  <si>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</si>
  <si>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</si>
  <si>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</si>
  <si>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</si>
  <si>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</si>
  <si>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</si>
  <si>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</si>
  <si>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</si>
  <si>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</si>
  <si>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</si>
  <si>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</si>
  <si>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</si>
  <si>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</si>
  <si>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</si>
  <si>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</si>
  <si>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</si>
  <si>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</si>
  <si>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</si>
  <si>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</si>
  <si>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</si>
  <si>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</si>
  <si>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</si>
  <si>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</si>
  <si>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</si>
  <si>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</si>
  <si>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</si>
  <si>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</si>
  <si>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</si>
  <si>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</si>
  <si>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</si>
  <si>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</si>
  <si>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</si>
  <si>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</si>
  <si>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</si>
  <si>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</si>
  <si>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</si>
  <si>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</si>
  <si>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</si>
  <si>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</si>
  <si>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</si>
  <si>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</si>
  <si>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</si>
  <si>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</si>
  <si>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</si>
  <si>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</si>
  <si>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</si>
  <si>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</si>
  <si>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</si>
  <si>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</si>
  <si>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</si>
  <si>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</si>
  <si>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</si>
  <si>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</si>
  <si>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</si>
  <si>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</si>
  <si>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</si>
  <si>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</si>
  <si>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</si>
  <si>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</si>
  <si>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</si>
  <si>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</si>
  <si>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</si>
  <si>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</si>
  <si>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</si>
  <si>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</si>
  <si>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</si>
  <si>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</si>
  <si>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</si>
  <si>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</si>
  <si>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</si>
  <si>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</si>
  <si>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</si>
  <si>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</si>
  <si>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</si>
  <si>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</si>
  <si>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</si>
  <si>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</si>
  <si>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</si>
  <si>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</si>
  <si>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</si>
  <si>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</si>
  <si>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</si>
  <si>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</si>
  <si>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</si>
  <si>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</si>
  <si>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</si>
  <si>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</si>
  <si>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</si>
  <si>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</si>
  <si>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</si>
  <si>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</si>
  <si>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</si>
  <si>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</si>
  <si>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</si>
  <si>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</si>
  <si>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</si>
  <si>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</si>
  <si>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</si>
  <si>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</si>
  <si>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</si>
  <si>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</si>
  <si>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</si>
  <si>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</si>
  <si>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</si>
  <si>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</si>
  <si>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</si>
  <si>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</si>
  <si>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</si>
  <si>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</si>
  <si>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</si>
  <si>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</si>
  <si>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</si>
  <si>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</si>
  <si>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</si>
  <si>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</si>
  <si>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</si>
  <si>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</si>
  <si>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</si>
  <si>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</si>
  <si>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</si>
  <si>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</si>
  <si>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</si>
  <si>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</si>
  <si>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</si>
  <si>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</si>
  <si>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</si>
  <si>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</si>
  <si>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</si>
  <si>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</si>
  <si>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</si>
  <si>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</si>
  <si>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</si>
  <si>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</si>
  <si>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</si>
  <si>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</si>
  <si>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</si>
  <si>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</si>
  <si>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</si>
  <si>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</si>
  <si>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</si>
  <si>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</si>
  <si>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</si>
  <si>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</si>
  <si>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</si>
  <si>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</si>
  <si>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</si>
  <si>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</si>
  <si>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</si>
  <si>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</si>
  <si>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</si>
  <si>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</si>
  <si>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</si>
  <si>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</si>
  <si>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</si>
  <si>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</si>
  <si>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</si>
  <si>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</si>
  <si>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</si>
  <si>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</si>
  <si>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</si>
  <si>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</si>
  <si>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</si>
  <si>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</si>
  <si>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</si>
  <si>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</si>
  <si>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</si>
  <si>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</si>
  <si>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</si>
  <si>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</si>
  <si>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</si>
  <si>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</si>
  <si>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</si>
  <si>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</si>
  <si>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</si>
  <si>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</si>
  <si>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</si>
  <si>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</si>
  <si>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</si>
  <si>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</si>
  <si>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</si>
  <si>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</si>
  <si>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</si>
  <si>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</si>
  <si>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</si>
  <si>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</si>
  <si>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</si>
  <si>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</si>
  <si>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</si>
  <si>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</si>
  <si>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</si>
  <si>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</si>
  <si>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</si>
  <si>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</si>
  <si>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</si>
  <si>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</si>
  <si>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</si>
  <si>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</si>
  <si>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</si>
  <si>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</si>
  <si>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</si>
  <si>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</si>
  <si>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</si>
  <si>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</si>
  <si>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</si>
  <si>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</si>
  <si>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</si>
  <si>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</si>
  <si>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</si>
  <si>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</si>
  <si>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</si>
  <si>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</si>
  <si>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</si>
  <si>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</si>
  <si>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</si>
  <si>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</si>
  <si>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</si>
  <si>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</si>
  <si>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</si>
  <si>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</si>
  <si>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</si>
  <si>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</si>
  <si>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</si>
  <si>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</si>
  <si>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</si>
  <si>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</si>
  <si>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</si>
  <si>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</si>
  <si>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</si>
  <si>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</si>
  <si>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</si>
  <si>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</si>
  <si>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</si>
  <si>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</si>
  <si>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</si>
  <si>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</si>
  <si>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</si>
  <si>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</si>
  <si>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</si>
  <si>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</si>
  <si>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</si>
  <si>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</si>
  <si>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</si>
  <si>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</si>
  <si>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</si>
  <si>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</si>
  <si>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</si>
  <si>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</si>
  <si>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</si>
  <si>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</si>
  <si>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</si>
  <si>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</si>
  <si>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</si>
  <si>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</si>
  <si>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</si>
  <si>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</si>
  <si>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</si>
  <si>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</si>
  <si>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</si>
  <si>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</si>
  <si>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</si>
  <si>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</si>
  <si>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</si>
  <si>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</si>
  <si>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</si>
  <si>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</si>
  <si>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</si>
  <si>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</si>
  <si>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</si>
  <si>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</si>
  <si>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</si>
  <si>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</si>
  <si>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</si>
  <si>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</si>
  <si>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</si>
  <si>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</si>
  <si>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</si>
  <si>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</si>
  <si>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</si>
  <si>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</si>
  <si>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</si>
  <si>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</si>
  <si>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</si>
  <si>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</si>
  <si>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</si>
  <si>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</si>
  <si>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</si>
  <si>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</si>
  <si>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</si>
  <si>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</si>
  <si>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</si>
  <si>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</si>
  <si>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</si>
  <si>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</si>
  <si>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</si>
  <si>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</si>
  <si>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</si>
  <si>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</si>
  <si>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</si>
  <si>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</si>
  <si>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</si>
  <si>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</si>
  <si>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</si>
  <si>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</si>
  <si>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</si>
  <si>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</si>
  <si>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</si>
  <si>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</si>
  <si>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</si>
  <si>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</si>
  <si>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</si>
  <si>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</si>
  <si>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</si>
  <si>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</si>
  <si>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</si>
  <si>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</si>
  <si>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</si>
  <si>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</si>
  <si>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</si>
  <si>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</si>
  <si>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</si>
  <si>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</si>
  <si>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</si>
  <si>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</si>
  <si>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</si>
  <si>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</si>
  <si>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</si>
  <si>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</si>
  <si>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</si>
  <si>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</si>
  <si>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</si>
  <si>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</si>
  <si>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</si>
  <si>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</si>
  <si>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</si>
  <si>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</si>
  <si>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</si>
  <si>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</si>
  <si>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</si>
  <si>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</si>
  <si>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</si>
  <si>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</si>
  <si>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</si>
  <si>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</si>
  <si>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</si>
  <si>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</si>
  <si>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</si>
  <si>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</si>
  <si>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</si>
  <si>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</si>
  <si>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</si>
  <si>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</si>
  <si>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</si>
  <si>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</si>
  <si>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</si>
  <si>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</si>
  <si>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</si>
  <si>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</si>
  <si>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</si>
  <si>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</si>
  <si>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</si>
  <si>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</si>
  <si>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</si>
  <si>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</si>
  <si>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</si>
  <si>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</si>
  <si>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</si>
  <si>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</si>
  <si>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</si>
  <si>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</si>
  <si>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</si>
  <si>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</si>
  <si>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</si>
  <si>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</si>
  <si>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</si>
  <si>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</si>
  <si>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</si>
  <si>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</si>
  <si>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</si>
  <si>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</si>
  <si>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</si>
  <si>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</si>
  <si>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</si>
  <si>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</si>
  <si>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</si>
  <si>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</si>
  <si>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</si>
  <si>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</si>
  <si>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</si>
  <si>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</si>
  <si>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</si>
  <si>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</si>
  <si>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</si>
  <si>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</si>
  <si>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</si>
  <si>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</si>
  <si>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</si>
  <si>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</si>
  <si>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</si>
  <si>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</si>
  <si>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</si>
  <si>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</si>
  <si>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</si>
  <si>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</si>
  <si>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</si>
  <si>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</si>
  <si>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</si>
  <si>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</si>
  <si>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</si>
  <si>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</si>
  <si>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</si>
  <si>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</si>
  <si>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</si>
  <si>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</si>
  <si>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</si>
  <si>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</si>
  <si>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</si>
  <si>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</si>
  <si>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</si>
  <si>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</si>
  <si>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</si>
  <si>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</si>
  <si>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</si>
  <si>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</si>
  <si>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</si>
  <si>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</si>
  <si>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</si>
  <si>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</si>
  <si>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</si>
  <si>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</si>
  <si>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</si>
  <si>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</si>
  <si>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</si>
  <si>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</si>
  <si>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</si>
  <si>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</si>
  <si>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</si>
  <si>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</si>
  <si>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</si>
  <si>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</si>
  <si>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</si>
  <si>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</si>
  <si>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</si>
  <si>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</si>
  <si>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</si>
  <si>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</si>
  <si>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</si>
  <si>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</si>
  <si>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</si>
  <si>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</si>
  <si>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</si>
  <si>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</si>
  <si>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</si>
  <si>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</si>
  <si>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</si>
  <si>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</si>
  <si>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</si>
  <si>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</si>
  <si>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</si>
  <si>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</si>
  <si>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</si>
  <si>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</si>
  <si>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</si>
  <si>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</si>
  <si>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</si>
  <si>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</si>
  <si>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</si>
  <si>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</si>
  <si>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</si>
  <si>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</si>
  <si>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</si>
  <si>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</si>
  <si>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</si>
  <si>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</si>
  <si>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</si>
  <si>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</si>
  <si>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</si>
  <si>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</si>
  <si>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</si>
  <si>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</si>
  <si>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</si>
  <si>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</si>
  <si>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</si>
  <si>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</si>
  <si>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</si>
  <si>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</si>
  <si>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</si>
  <si>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</si>
  <si>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</si>
  <si>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</si>
  <si>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</si>
  <si>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</si>
  <si>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</si>
  <si>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</si>
  <si>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</si>
  <si>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</si>
  <si>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</si>
  <si>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</si>
  <si>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</si>
  <si>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</si>
  <si>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</si>
  <si>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</si>
  <si>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</si>
  <si>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</si>
  <si>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</si>
  <si>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</si>
  <si>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</si>
  <si>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</si>
  <si>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</si>
  <si>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</si>
  <si>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</si>
  <si>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</si>
  <si>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</si>
  <si>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</si>
  <si>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</si>
  <si>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</si>
  <si>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</si>
  <si>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</si>
  <si>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</si>
  <si>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</si>
  <si>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</si>
  <si>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</si>
  <si>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</si>
  <si>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</si>
  <si>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</si>
  <si>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</si>
  <si>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</si>
  <si>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</si>
  <si>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</si>
  <si>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</si>
  <si>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</si>
  <si>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</si>
  <si>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</si>
  <si>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</si>
  <si>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</si>
  <si>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</si>
  <si>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</si>
  <si>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</si>
  <si>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</si>
  <si>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</si>
  <si>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</si>
  <si>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</si>
  <si>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</si>
  <si>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</si>
  <si>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</si>
  <si>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</si>
  <si>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</si>
  <si>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</si>
  <si>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</si>
  <si>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</si>
  <si>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</si>
  <si>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</si>
  <si>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</si>
  <si>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</si>
  <si>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</si>
  <si>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2020 y al 30 de junio de 2021 (b)</t>
  </si>
  <si>
    <t>Del 1 de enero al 30 de junio de 2021 (b)</t>
  </si>
  <si>
    <t>MUNICIPIO DE TIERRA 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</si>
</sst>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Protection="1">
      <protection locked="0"/>
    </xf>
    <xf numFmtId="43" fontId="6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1" t="s">
        <v>829</v>
      </c>
      <c r="B1" s="162"/>
      <c r="C1" s="162"/>
      <c r="D1" s="162"/>
      <c r="E1" s="163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64" t="s">
        <v>3304</v>
      </c>
      <c r="D3" s="164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4" zoomScale="60" zoomScaleNormal="60" workbookViewId="0">
      <selection activeCell="A8" sqref="A8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77" t="s">
        <v>542</v>
      </c>
      <c r="B1" s="177"/>
      <c r="C1" s="177"/>
      <c r="D1" s="177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5" t="str">
        <f>ENTE_PUBLICO_A</f>
        <v>MUNICIPIO DE TIERRA BLANCA, Gobierno del Estado de Guanajuato (a)</v>
      </c>
      <c r="B2" s="166"/>
      <c r="C2" s="166"/>
      <c r="D2" s="167"/>
    </row>
    <row r="3" spans="1:11" ht="14.25" x14ac:dyDescent="0.45">
      <c r="A3" s="168" t="s">
        <v>166</v>
      </c>
      <c r="B3" s="169"/>
      <c r="C3" s="169"/>
      <c r="D3" s="170"/>
    </row>
    <row r="4" spans="1:11" ht="14.25" x14ac:dyDescent="0.45">
      <c r="A4" s="171" t="str">
        <f>TRIMESTRE</f>
        <v>Del 1 de enero al 30 de junio de 2021 (b)</v>
      </c>
      <c r="B4" s="172"/>
      <c r="C4" s="172"/>
      <c r="D4" s="173"/>
    </row>
    <row r="5" spans="1:11" ht="14.25" x14ac:dyDescent="0.45">
      <c r="A5" s="174" t="s">
        <v>118</v>
      </c>
      <c r="B5" s="175"/>
      <c r="C5" s="175"/>
      <c r="D5" s="176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3673000</v>
      </c>
      <c r="C8" s="40">
        <f t="shared" ref="C8:D8" si="0">SUM(C9:C11)</f>
        <v>2267314.7000000002</v>
      </c>
      <c r="D8" s="40">
        <f t="shared" si="0"/>
        <v>2267314.7000000002</v>
      </c>
    </row>
    <row r="9" spans="1:11" x14ac:dyDescent="0.25">
      <c r="A9" s="53" t="s">
        <v>169</v>
      </c>
      <c r="B9" s="151">
        <v>3673000</v>
      </c>
      <c r="C9" s="151">
        <v>2267314.7000000002</v>
      </c>
      <c r="D9" s="151">
        <v>2267314.7000000002</v>
      </c>
    </row>
    <row r="10" spans="1:11" x14ac:dyDescent="0.25">
      <c r="A10" s="53" t="s">
        <v>170</v>
      </c>
      <c r="B10" s="151">
        <v>0</v>
      </c>
      <c r="C10" s="151">
        <v>0</v>
      </c>
      <c r="D10" s="151">
        <v>0</v>
      </c>
    </row>
    <row r="11" spans="1:11" x14ac:dyDescent="0.25">
      <c r="A11" s="53" t="s">
        <v>171</v>
      </c>
      <c r="B11" s="151">
        <v>0</v>
      </c>
      <c r="C11" s="151">
        <v>0</v>
      </c>
      <c r="D11" s="151"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94673000</v>
      </c>
      <c r="C13" s="40">
        <f t="shared" ref="C13:D13" si="1">C14+C15</f>
        <v>33203018.990000002</v>
      </c>
      <c r="D13" s="40">
        <f t="shared" si="1"/>
        <v>33203018.990000002</v>
      </c>
    </row>
    <row r="14" spans="1:11" x14ac:dyDescent="0.25">
      <c r="A14" s="53" t="s">
        <v>172</v>
      </c>
      <c r="B14" s="151">
        <v>55673000</v>
      </c>
      <c r="C14" s="151">
        <v>22084318.109999999</v>
      </c>
      <c r="D14" s="151">
        <v>22084318.109999999</v>
      </c>
    </row>
    <row r="15" spans="1:11" x14ac:dyDescent="0.25">
      <c r="A15" s="53" t="s">
        <v>173</v>
      </c>
      <c r="B15" s="151">
        <v>39000000</v>
      </c>
      <c r="C15" s="151">
        <v>11118700.880000001</v>
      </c>
      <c r="D15" s="151">
        <v>11118700.880000001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7">
        <f>B18+B19</f>
        <v>0</v>
      </c>
      <c r="C17" s="40">
        <f t="shared" ref="C17" si="2">C18+C19</f>
        <v>-8613125.25</v>
      </c>
      <c r="D17" s="40">
        <f>D18+D19</f>
        <v>-8613125.25</v>
      </c>
    </row>
    <row r="18" spans="1:4" x14ac:dyDescent="0.25">
      <c r="A18" s="53" t="s">
        <v>175</v>
      </c>
      <c r="B18" s="118">
        <v>0</v>
      </c>
      <c r="C18" s="151">
        <v>-4291021.3600000003</v>
      </c>
      <c r="D18" s="151">
        <v>-4291021.3600000003</v>
      </c>
    </row>
    <row r="19" spans="1:4" x14ac:dyDescent="0.25">
      <c r="A19" s="53" t="s">
        <v>176</v>
      </c>
      <c r="B19" s="118">
        <v>0</v>
      </c>
      <c r="C19" s="151">
        <v>-4322103.8899999997</v>
      </c>
      <c r="D19" s="152">
        <v>-4322103.8899999997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-91000000</v>
      </c>
      <c r="C21" s="40">
        <f t="shared" ref="C21:D21" si="3">C8-C13+C17</f>
        <v>-39548829.540000007</v>
      </c>
      <c r="D21" s="40">
        <f t="shared" si="3"/>
        <v>-39548829.540000007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-91000000</v>
      </c>
      <c r="C23" s="40">
        <f t="shared" ref="C23:D23" si="4">C21-C11</f>
        <v>-39548829.540000007</v>
      </c>
      <c r="D23" s="40">
        <f t="shared" si="4"/>
        <v>-39548829.540000007</v>
      </c>
    </row>
    <row r="24" spans="1:4" x14ac:dyDescent="0.25">
      <c r="A24" s="55"/>
      <c r="B24" s="17"/>
      <c r="C24" s="17"/>
      <c r="D24" s="17"/>
    </row>
    <row r="25" spans="1:4" x14ac:dyDescent="0.25">
      <c r="A25" s="119" t="s">
        <v>179</v>
      </c>
      <c r="B25" s="40">
        <f>B23-B17</f>
        <v>-91000000</v>
      </c>
      <c r="C25" s="40">
        <f t="shared" ref="C25" si="5">C23-C17</f>
        <v>-30935704.290000007</v>
      </c>
      <c r="D25" s="40">
        <f>D23-D17</f>
        <v>-30935704.290000007</v>
      </c>
    </row>
    <row r="26" spans="1:4" x14ac:dyDescent="0.25">
      <c r="A26" s="120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-91000000</v>
      </c>
      <c r="C33" s="61">
        <f t="shared" ref="C33:D33" si="7">C25+C29</f>
        <v>-30935704.290000007</v>
      </c>
      <c r="D33" s="61">
        <f t="shared" si="7"/>
        <v>-30935704.290000007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23">
        <f>B9</f>
        <v>3673000</v>
      </c>
      <c r="C48" s="123">
        <f>C9</f>
        <v>2267314.7000000002</v>
      </c>
      <c r="D48" s="123">
        <f t="shared" ref="D48" si="11">D9</f>
        <v>2267314.7000000002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55673000</v>
      </c>
      <c r="C53" s="60">
        <f t="shared" ref="C53:D53" si="13">C14</f>
        <v>22084318.109999999</v>
      </c>
      <c r="D53" s="60">
        <f t="shared" si="13"/>
        <v>22084318.109999999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 t="shared" ref="C55:D55" si="14">C18</f>
        <v>-4291021.3600000003</v>
      </c>
      <c r="D55" s="60">
        <f t="shared" si="14"/>
        <v>-4291021.3600000003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-52000000</v>
      </c>
      <c r="C57" s="61">
        <f>C48+C49-C53+C55</f>
        <v>-24108024.77</v>
      </c>
      <c r="D57" s="61">
        <f t="shared" ref="D57" si="15">D48+D49-D53+D55</f>
        <v>-24108024.77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-52000000</v>
      </c>
      <c r="C59" s="61">
        <f t="shared" ref="C59:D59" si="16">C57-C49</f>
        <v>-24108024.77</v>
      </c>
      <c r="D59" s="61">
        <f t="shared" si="16"/>
        <v>-24108024.77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1">
        <f>B10</f>
        <v>0</v>
      </c>
      <c r="C63" s="121">
        <f t="shared" ref="C63:D63" si="17">C10</f>
        <v>0</v>
      </c>
      <c r="D63" s="121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39000000</v>
      </c>
      <c r="C68" s="23">
        <f t="shared" ref="C68:D68" si="19">C15</f>
        <v>11118700.880000001</v>
      </c>
      <c r="D68" s="23">
        <f t="shared" si="19"/>
        <v>11118700.880000001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20">C19</f>
        <v>-4322103.8899999997</v>
      </c>
      <c r="D70" s="23">
        <f t="shared" si="20"/>
        <v>-4322103.8899999997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-39000000</v>
      </c>
      <c r="C72" s="40">
        <f t="shared" ref="C72:D72" si="21">C63+C64-C68+C70</f>
        <v>-15440804.77</v>
      </c>
      <c r="D72" s="40">
        <f t="shared" si="21"/>
        <v>-15440804.77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-39000000</v>
      </c>
      <c r="C74" s="40">
        <f>C72-C64</f>
        <v>-15440804.77</v>
      </c>
      <c r="D74" s="40">
        <f t="shared" ref="D74" si="22">D72-D64</f>
        <v>-15440804.77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3673000</v>
      </c>
      <c r="Q2" s="18">
        <f>'Formato 4'!C8</f>
        <v>2267314.7000000002</v>
      </c>
      <c r="R2" s="18">
        <f>'Formato 4'!D8</f>
        <v>2267314.7000000002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3673000</v>
      </c>
      <c r="Q3" s="18">
        <f>'Formato 4'!C9</f>
        <v>2267314.7000000002</v>
      </c>
      <c r="R3" s="18">
        <f>'Formato 4'!D9</f>
        <v>2267314.7000000002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94673000</v>
      </c>
      <c r="Q6" s="18">
        <f>'Formato 4'!C13</f>
        <v>33203018.990000002</v>
      </c>
      <c r="R6" s="18">
        <f>'Formato 4'!D13</f>
        <v>33203018.990000002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55673000</v>
      </c>
      <c r="Q7" s="18">
        <f>'Formato 4'!C14</f>
        <v>22084318.109999999</v>
      </c>
      <c r="R7" s="18">
        <f>'Formato 4'!D14</f>
        <v>22084318.109999999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39000000</v>
      </c>
      <c r="Q8" s="18">
        <f>'Formato 4'!C15</f>
        <v>11118700.880000001</v>
      </c>
      <c r="R8" s="18">
        <f>'Formato 4'!D15</f>
        <v>11118700.880000001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-8613125.25</v>
      </c>
      <c r="R9" s="18">
        <f>'Formato 4'!D17</f>
        <v>-8613125.25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-4291021.3600000003</v>
      </c>
      <c r="R10" s="18">
        <f>'Formato 4'!D18</f>
        <v>-4291021.3600000003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-4322103.8899999997</v>
      </c>
      <c r="R11" s="18">
        <f>'Formato 4'!D19</f>
        <v>-4322103.8899999997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-91000000</v>
      </c>
      <c r="Q12" s="18">
        <f>'Formato 4'!C21</f>
        <v>-39548829.540000007</v>
      </c>
      <c r="R12" s="18">
        <f>'Formato 4'!D21</f>
        <v>-39548829.540000007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-91000000</v>
      </c>
      <c r="Q13" s="18">
        <f>'Formato 4'!C23</f>
        <v>-39548829.540000007</v>
      </c>
      <c r="R13" s="18">
        <f>'Formato 4'!D23</f>
        <v>-39548829.540000007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-91000000</v>
      </c>
      <c r="Q14" s="18">
        <f>'Formato 4'!C25</f>
        <v>-30935704.290000007</v>
      </c>
      <c r="R14" s="18">
        <f>'Formato 4'!D25</f>
        <v>-30935704.290000007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-91000000</v>
      </c>
      <c r="Q18">
        <f>'Formato 4'!C33</f>
        <v>-30935704.290000007</v>
      </c>
      <c r="R18">
        <f>'Formato 4'!D33</f>
        <v>-30935704.290000007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3673000</v>
      </c>
      <c r="Q26">
        <f>'Formato 4'!C48</f>
        <v>2267314.7000000002</v>
      </c>
      <c r="R26">
        <f>'Formato 4'!D48</f>
        <v>2267314.7000000002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55673000</v>
      </c>
      <c r="Q30">
        <f>'Formato 4'!C53</f>
        <v>22084318.109999999</v>
      </c>
      <c r="R30">
        <f>'Formato 4'!D53</f>
        <v>22084318.109999999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-4291021.3600000003</v>
      </c>
      <c r="R31">
        <f>'Formato 4'!D55</f>
        <v>-4291021.3600000003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39000000</v>
      </c>
      <c r="Q36">
        <f>'Formato 4'!C68</f>
        <v>11118700.880000001</v>
      </c>
      <c r="R36">
        <f>'Formato 4'!D68</f>
        <v>11118700.880000001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-4322103.8899999997</v>
      </c>
      <c r="R37">
        <f>'Formato 4'!D70</f>
        <v>-4322103.8899999997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-39000000</v>
      </c>
      <c r="Q38">
        <f>'Formato 4'!C72</f>
        <v>-15440804.77</v>
      </c>
      <c r="R38">
        <f>'Formato 4'!D72</f>
        <v>-15440804.77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-39000000</v>
      </c>
      <c r="Q39">
        <f>'Formato 4'!C74</f>
        <v>-15440804.77</v>
      </c>
      <c r="R39">
        <f>'Formato 4'!D74</f>
        <v>-15440804.77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0" zoomScaleNormal="80" workbookViewId="0">
      <selection activeCell="C14" sqref="C1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3" t="s">
        <v>206</v>
      </c>
      <c r="B1" s="183"/>
      <c r="C1" s="183"/>
      <c r="D1" s="183"/>
      <c r="E1" s="183"/>
      <c r="F1" s="183"/>
      <c r="G1" s="183"/>
    </row>
    <row r="2" spans="1:8" ht="14.25" x14ac:dyDescent="0.45">
      <c r="A2" s="165" t="str">
        <f>ENTE_PUBLICO_A</f>
        <v>MUNICIPIO DE TIERRA BLANCA, Gobierno del Estado de Guanajuato (a)</v>
      </c>
      <c r="B2" s="166"/>
      <c r="C2" s="166"/>
      <c r="D2" s="166"/>
      <c r="E2" s="166"/>
      <c r="F2" s="166"/>
      <c r="G2" s="167"/>
    </row>
    <row r="3" spans="1:8" x14ac:dyDescent="0.25">
      <c r="A3" s="168" t="s">
        <v>207</v>
      </c>
      <c r="B3" s="169"/>
      <c r="C3" s="169"/>
      <c r="D3" s="169"/>
      <c r="E3" s="169"/>
      <c r="F3" s="169"/>
      <c r="G3" s="170"/>
    </row>
    <row r="4" spans="1:8" ht="14.25" x14ac:dyDescent="0.45">
      <c r="A4" s="171" t="str">
        <f>TRIMESTRE</f>
        <v>Del 1 de enero al 30 de junio de 2021 (b)</v>
      </c>
      <c r="B4" s="172"/>
      <c r="C4" s="172"/>
      <c r="D4" s="172"/>
      <c r="E4" s="172"/>
      <c r="F4" s="172"/>
      <c r="G4" s="173"/>
    </row>
    <row r="5" spans="1:8" ht="14.25" x14ac:dyDescent="0.45">
      <c r="A5" s="174" t="s">
        <v>118</v>
      </c>
      <c r="B5" s="175"/>
      <c r="C5" s="175"/>
      <c r="D5" s="175"/>
      <c r="E5" s="175"/>
      <c r="F5" s="175"/>
      <c r="G5" s="176"/>
    </row>
    <row r="6" spans="1:8" x14ac:dyDescent="0.25">
      <c r="A6" s="180" t="s">
        <v>214</v>
      </c>
      <c r="B6" s="182" t="s">
        <v>208</v>
      </c>
      <c r="C6" s="182"/>
      <c r="D6" s="182"/>
      <c r="E6" s="182"/>
      <c r="F6" s="182"/>
      <c r="G6" s="182" t="s">
        <v>209</v>
      </c>
    </row>
    <row r="7" spans="1:8" ht="30" x14ac:dyDescent="0.25">
      <c r="A7" s="181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2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3">
        <v>1137700</v>
      </c>
      <c r="C9" s="153">
        <v>-1200</v>
      </c>
      <c r="D9" s="154">
        <f>B9+C9</f>
        <v>1136500</v>
      </c>
      <c r="E9" s="153">
        <v>911826.63</v>
      </c>
      <c r="F9" s="153">
        <v>911826.63</v>
      </c>
      <c r="G9" s="60">
        <f>F9-B9</f>
        <v>-225873.37</v>
      </c>
      <c r="H9" s="8"/>
    </row>
    <row r="10" spans="1:8" x14ac:dyDescent="0.25">
      <c r="A10" s="53" t="s">
        <v>217</v>
      </c>
      <c r="B10" s="153">
        <v>0</v>
      </c>
      <c r="C10" s="153">
        <v>0</v>
      </c>
      <c r="D10" s="154">
        <f t="shared" ref="D10:D15" si="0">B10+C10</f>
        <v>0</v>
      </c>
      <c r="E10" s="153">
        <v>0</v>
      </c>
      <c r="F10" s="153">
        <v>0</v>
      </c>
      <c r="G10" s="60">
        <f t="shared" ref="G10:G15" si="1">F10-B10</f>
        <v>0</v>
      </c>
    </row>
    <row r="11" spans="1:8" x14ac:dyDescent="0.25">
      <c r="A11" s="53" t="s">
        <v>218</v>
      </c>
      <c r="B11" s="153">
        <v>1000</v>
      </c>
      <c r="C11" s="153">
        <v>0</v>
      </c>
      <c r="D11" s="154">
        <f t="shared" si="0"/>
        <v>1000</v>
      </c>
      <c r="E11" s="153">
        <v>0</v>
      </c>
      <c r="F11" s="153">
        <v>0</v>
      </c>
      <c r="G11" s="60">
        <f t="shared" si="1"/>
        <v>-1000</v>
      </c>
    </row>
    <row r="12" spans="1:8" x14ac:dyDescent="0.25">
      <c r="A12" s="53" t="s">
        <v>219</v>
      </c>
      <c r="B12" s="153">
        <v>2125900</v>
      </c>
      <c r="C12" s="153">
        <v>-64384.46</v>
      </c>
      <c r="D12" s="154">
        <f t="shared" si="0"/>
        <v>2061515.54</v>
      </c>
      <c r="E12" s="153">
        <v>1068202.1599999999</v>
      </c>
      <c r="F12" s="153">
        <v>1068202.1599999999</v>
      </c>
      <c r="G12" s="60">
        <f t="shared" si="1"/>
        <v>-1057697.8400000001</v>
      </c>
    </row>
    <row r="13" spans="1:8" x14ac:dyDescent="0.25">
      <c r="A13" s="53" t="s">
        <v>220</v>
      </c>
      <c r="B13" s="153">
        <v>189800</v>
      </c>
      <c r="C13" s="153">
        <v>-12000</v>
      </c>
      <c r="D13" s="154">
        <f t="shared" si="0"/>
        <v>177800</v>
      </c>
      <c r="E13" s="153">
        <v>94672.320000000007</v>
      </c>
      <c r="F13" s="153">
        <v>94672.320000000007</v>
      </c>
      <c r="G13" s="60">
        <f t="shared" si="1"/>
        <v>-95127.679999999993</v>
      </c>
    </row>
    <row r="14" spans="1:8" x14ac:dyDescent="0.25">
      <c r="A14" s="53" t="s">
        <v>221</v>
      </c>
      <c r="B14" s="153">
        <v>218600</v>
      </c>
      <c r="C14" s="153">
        <v>77584.460000000006</v>
      </c>
      <c r="D14" s="154">
        <f t="shared" si="0"/>
        <v>296184.46000000002</v>
      </c>
      <c r="E14" s="153">
        <v>192613.59</v>
      </c>
      <c r="F14" s="153">
        <v>192613.59</v>
      </c>
      <c r="G14" s="60">
        <f t="shared" si="1"/>
        <v>-25986.410000000003</v>
      </c>
    </row>
    <row r="15" spans="1:8" x14ac:dyDescent="0.25">
      <c r="A15" s="53" t="s">
        <v>222</v>
      </c>
      <c r="B15" s="153">
        <v>0</v>
      </c>
      <c r="C15" s="153">
        <v>0</v>
      </c>
      <c r="D15" s="154">
        <f t="shared" si="0"/>
        <v>0</v>
      </c>
      <c r="E15" s="153">
        <v>0</v>
      </c>
      <c r="F15" s="153">
        <v>0</v>
      </c>
      <c r="G15" s="60">
        <f t="shared" si="1"/>
        <v>0</v>
      </c>
    </row>
    <row r="16" spans="1:8" ht="14.25" x14ac:dyDescent="0.45">
      <c r="A16" s="10" t="s">
        <v>275</v>
      </c>
      <c r="B16" s="60">
        <f>SUM(B17:B27)</f>
        <v>51450000</v>
      </c>
      <c r="C16" s="60">
        <f t="shared" ref="C16:F16" si="2">SUM(C17:C27)</f>
        <v>0</v>
      </c>
      <c r="D16" s="60">
        <f t="shared" si="2"/>
        <v>51450000</v>
      </c>
      <c r="E16" s="60">
        <f t="shared" si="2"/>
        <v>27374286.27</v>
      </c>
      <c r="F16" s="60">
        <f t="shared" si="2"/>
        <v>27374286.27</v>
      </c>
      <c r="G16" s="60">
        <f>SUM(G17:G27)</f>
        <v>-24075713.73</v>
      </c>
    </row>
    <row r="17" spans="1:7" x14ac:dyDescent="0.25">
      <c r="A17" s="63" t="s">
        <v>223</v>
      </c>
      <c r="B17" s="153">
        <v>21000000</v>
      </c>
      <c r="C17" s="153">
        <v>0</v>
      </c>
      <c r="D17" s="154">
        <f t="shared" ref="D17:D27" si="3">B17+C17</f>
        <v>21000000</v>
      </c>
      <c r="E17" s="153">
        <v>11404043.449999999</v>
      </c>
      <c r="F17" s="153">
        <v>11404043.449999999</v>
      </c>
      <c r="G17" s="60">
        <f>F17-B17</f>
        <v>-9595956.5500000007</v>
      </c>
    </row>
    <row r="18" spans="1:7" x14ac:dyDescent="0.25">
      <c r="A18" s="63" t="s">
        <v>224</v>
      </c>
      <c r="B18" s="153">
        <v>26150000</v>
      </c>
      <c r="C18" s="153">
        <v>0</v>
      </c>
      <c r="D18" s="154">
        <f t="shared" si="3"/>
        <v>26150000</v>
      </c>
      <c r="E18" s="153">
        <v>13690589.83</v>
      </c>
      <c r="F18" s="153">
        <v>13690589.83</v>
      </c>
      <c r="G18" s="60">
        <f t="shared" ref="G18:G27" si="4">F18-B18</f>
        <v>-12459410.17</v>
      </c>
    </row>
    <row r="19" spans="1:7" x14ac:dyDescent="0.25">
      <c r="A19" s="63" t="s">
        <v>225</v>
      </c>
      <c r="B19" s="153">
        <v>400000</v>
      </c>
      <c r="C19" s="153">
        <v>0</v>
      </c>
      <c r="D19" s="154">
        <f t="shared" si="3"/>
        <v>400000</v>
      </c>
      <c r="E19" s="153">
        <v>225455.15</v>
      </c>
      <c r="F19" s="153">
        <v>225455.15</v>
      </c>
      <c r="G19" s="60">
        <f t="shared" si="4"/>
        <v>-174544.85</v>
      </c>
    </row>
    <row r="20" spans="1:7" x14ac:dyDescent="0.25">
      <c r="A20" s="63" t="s">
        <v>226</v>
      </c>
      <c r="B20" s="154"/>
      <c r="C20" s="154"/>
      <c r="D20" s="154">
        <f t="shared" si="3"/>
        <v>0</v>
      </c>
      <c r="E20" s="154"/>
      <c r="F20" s="154"/>
      <c r="G20" s="60">
        <f t="shared" si="4"/>
        <v>0</v>
      </c>
    </row>
    <row r="21" spans="1:7" x14ac:dyDescent="0.25">
      <c r="A21" s="63" t="s">
        <v>227</v>
      </c>
      <c r="B21" s="154"/>
      <c r="C21" s="154"/>
      <c r="D21" s="154">
        <f t="shared" si="3"/>
        <v>0</v>
      </c>
      <c r="E21" s="154"/>
      <c r="F21" s="154"/>
      <c r="G21" s="60">
        <f t="shared" si="4"/>
        <v>0</v>
      </c>
    </row>
    <row r="22" spans="1:7" x14ac:dyDescent="0.25">
      <c r="A22" s="63" t="s">
        <v>228</v>
      </c>
      <c r="B22" s="153">
        <v>1900000</v>
      </c>
      <c r="C22" s="153">
        <v>0</v>
      </c>
      <c r="D22" s="154">
        <f t="shared" si="3"/>
        <v>1900000</v>
      </c>
      <c r="E22" s="153">
        <v>798643.45</v>
      </c>
      <c r="F22" s="153">
        <v>798643.45</v>
      </c>
      <c r="G22" s="60">
        <f t="shared" si="4"/>
        <v>-1101356.55</v>
      </c>
    </row>
    <row r="23" spans="1:7" x14ac:dyDescent="0.25">
      <c r="A23" s="63" t="s">
        <v>229</v>
      </c>
      <c r="B23" s="154"/>
      <c r="C23" s="154"/>
      <c r="D23" s="154">
        <f t="shared" si="3"/>
        <v>0</v>
      </c>
      <c r="E23" s="154"/>
      <c r="F23" s="154"/>
      <c r="G23" s="60">
        <f t="shared" si="4"/>
        <v>0</v>
      </c>
    </row>
    <row r="24" spans="1:7" x14ac:dyDescent="0.25">
      <c r="A24" s="63" t="s">
        <v>230</v>
      </c>
      <c r="B24" s="154"/>
      <c r="C24" s="154"/>
      <c r="D24" s="154">
        <f t="shared" si="3"/>
        <v>0</v>
      </c>
      <c r="E24" s="154"/>
      <c r="F24" s="154"/>
      <c r="G24" s="60">
        <f t="shared" si="4"/>
        <v>0</v>
      </c>
    </row>
    <row r="25" spans="1:7" x14ac:dyDescent="0.25">
      <c r="A25" s="63" t="s">
        <v>231</v>
      </c>
      <c r="B25" s="153">
        <v>500000</v>
      </c>
      <c r="C25" s="153">
        <v>0</v>
      </c>
      <c r="D25" s="154">
        <f t="shared" si="3"/>
        <v>500000</v>
      </c>
      <c r="E25" s="153">
        <v>150862.39000000001</v>
      </c>
      <c r="F25" s="153">
        <v>150862.39000000001</v>
      </c>
      <c r="G25" s="60">
        <f t="shared" si="4"/>
        <v>-349137.61</v>
      </c>
    </row>
    <row r="26" spans="1:7" x14ac:dyDescent="0.25">
      <c r="A26" s="63" t="s">
        <v>232</v>
      </c>
      <c r="B26" s="153">
        <v>1500000</v>
      </c>
      <c r="C26" s="153">
        <v>0</v>
      </c>
      <c r="D26" s="154">
        <f t="shared" si="3"/>
        <v>1500000</v>
      </c>
      <c r="E26" s="153">
        <v>1104692</v>
      </c>
      <c r="F26" s="153">
        <v>1104692</v>
      </c>
      <c r="G26" s="60">
        <f t="shared" si="4"/>
        <v>-395308</v>
      </c>
    </row>
    <row r="27" spans="1:7" x14ac:dyDescent="0.25">
      <c r="A27" s="63" t="s">
        <v>233</v>
      </c>
      <c r="B27" s="153">
        <v>0</v>
      </c>
      <c r="C27" s="153">
        <v>0</v>
      </c>
      <c r="D27" s="154">
        <f t="shared" si="3"/>
        <v>0</v>
      </c>
      <c r="E27" s="153">
        <v>0</v>
      </c>
      <c r="F27" s="153">
        <v>0</v>
      </c>
      <c r="G27" s="60">
        <f t="shared" si="4"/>
        <v>0</v>
      </c>
    </row>
    <row r="28" spans="1:7" x14ac:dyDescent="0.25">
      <c r="A28" s="53" t="s">
        <v>234</v>
      </c>
      <c r="B28" s="60">
        <f>SUM(B29:B33)</f>
        <v>550000</v>
      </c>
      <c r="C28" s="60">
        <f t="shared" ref="C28:G28" si="5">SUM(C29:C33)</f>
        <v>0</v>
      </c>
      <c r="D28" s="60">
        <f t="shared" si="5"/>
        <v>550000</v>
      </c>
      <c r="E28" s="60">
        <f t="shared" si="5"/>
        <v>403115.47</v>
      </c>
      <c r="F28" s="60">
        <f t="shared" si="5"/>
        <v>403115.47</v>
      </c>
      <c r="G28" s="60">
        <f t="shared" si="5"/>
        <v>-146884.52999999997</v>
      </c>
    </row>
    <row r="29" spans="1:7" x14ac:dyDescent="0.25">
      <c r="A29" s="63" t="s">
        <v>235</v>
      </c>
      <c r="B29" s="153">
        <v>2000</v>
      </c>
      <c r="C29" s="153">
        <v>470.47</v>
      </c>
      <c r="D29" s="154">
        <f t="shared" ref="D29:D33" si="6">B29+C29</f>
        <v>2470.4700000000003</v>
      </c>
      <c r="E29" s="153">
        <v>2470.4699999999998</v>
      </c>
      <c r="F29" s="153">
        <v>2470.4699999999998</v>
      </c>
      <c r="G29" s="60">
        <f>F29-B29</f>
        <v>470.4699999999998</v>
      </c>
    </row>
    <row r="30" spans="1:7" x14ac:dyDescent="0.25">
      <c r="A30" s="63" t="s">
        <v>236</v>
      </c>
      <c r="B30" s="153">
        <v>50000</v>
      </c>
      <c r="C30" s="153">
        <v>-10378</v>
      </c>
      <c r="D30" s="154">
        <f t="shared" si="6"/>
        <v>39622</v>
      </c>
      <c r="E30" s="153">
        <v>33494.699999999997</v>
      </c>
      <c r="F30" s="153">
        <v>33494.699999999997</v>
      </c>
      <c r="G30" s="60">
        <f>F30-B30</f>
        <v>-16505.300000000003</v>
      </c>
    </row>
    <row r="31" spans="1:7" x14ac:dyDescent="0.25">
      <c r="A31" s="63" t="s">
        <v>237</v>
      </c>
      <c r="B31" s="153">
        <v>206000</v>
      </c>
      <c r="C31" s="153">
        <v>-25000</v>
      </c>
      <c r="D31" s="154">
        <f t="shared" si="6"/>
        <v>181000</v>
      </c>
      <c r="E31" s="153">
        <v>159613.63</v>
      </c>
      <c r="F31" s="153">
        <v>159613.63</v>
      </c>
      <c r="G31" s="60">
        <f t="shared" ref="G31:G33" si="7">F31-B31</f>
        <v>-46386.369999999995</v>
      </c>
    </row>
    <row r="32" spans="1:7" x14ac:dyDescent="0.25">
      <c r="A32" s="63" t="s">
        <v>238</v>
      </c>
      <c r="B32" s="153">
        <v>1000</v>
      </c>
      <c r="C32" s="153">
        <v>0</v>
      </c>
      <c r="D32" s="154">
        <f t="shared" si="6"/>
        <v>1000</v>
      </c>
      <c r="E32" s="153">
        <v>0</v>
      </c>
      <c r="F32" s="153">
        <v>0</v>
      </c>
      <c r="G32" s="60">
        <f t="shared" si="7"/>
        <v>-1000</v>
      </c>
    </row>
    <row r="33" spans="1:8" x14ac:dyDescent="0.25">
      <c r="A33" s="63" t="s">
        <v>239</v>
      </c>
      <c r="B33" s="153">
        <v>291000</v>
      </c>
      <c r="C33" s="153">
        <v>34907.53</v>
      </c>
      <c r="D33" s="154">
        <f t="shared" si="6"/>
        <v>325907.53000000003</v>
      </c>
      <c r="E33" s="153">
        <v>207536.67</v>
      </c>
      <c r="F33" s="153">
        <v>207536.67</v>
      </c>
      <c r="G33" s="60">
        <f t="shared" si="7"/>
        <v>-83463.329999999987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/>
    </row>
    <row r="35" spans="1:8" x14ac:dyDescent="0.25">
      <c r="A35" s="53" t="s">
        <v>241</v>
      </c>
      <c r="B35" s="60">
        <f>B36</f>
        <v>0</v>
      </c>
      <c r="C35" s="60">
        <f t="shared" ref="C35:F35" si="8">C36</f>
        <v>21076790.48</v>
      </c>
      <c r="D35" s="60">
        <f t="shared" si="8"/>
        <v>21076790.48</v>
      </c>
      <c r="E35" s="60">
        <f t="shared" si="8"/>
        <v>326341.61</v>
      </c>
      <c r="F35" s="60">
        <f t="shared" si="8"/>
        <v>326341.61</v>
      </c>
      <c r="G35" s="154">
        <f t="shared" ref="G35:G36" si="9">F35-B35</f>
        <v>326341.61</v>
      </c>
    </row>
    <row r="36" spans="1:8" x14ac:dyDescent="0.25">
      <c r="A36" s="63" t="s">
        <v>242</v>
      </c>
      <c r="B36" s="60"/>
      <c r="C36" s="153">
        <v>21076790.48</v>
      </c>
      <c r="D36" s="154">
        <f>B36+C36</f>
        <v>21076790.48</v>
      </c>
      <c r="E36" s="153">
        <v>326341.61</v>
      </c>
      <c r="F36" s="153">
        <v>326341.61</v>
      </c>
      <c r="G36" s="154">
        <f t="shared" si="9"/>
        <v>326341.61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10">C38+C39</f>
        <v>0</v>
      </c>
      <c r="D37" s="60">
        <f t="shared" si="10"/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55673000</v>
      </c>
      <c r="C41" s="61">
        <f t="shared" ref="C41:E41" si="11">SUM(C9,C10,C11,C12,C13,C14,C15,C16,C28,C34,C35,C37)</f>
        <v>21076790.48</v>
      </c>
      <c r="D41" s="61">
        <f t="shared" si="11"/>
        <v>76749790.480000004</v>
      </c>
      <c r="E41" s="61">
        <f t="shared" si="11"/>
        <v>30371058.049999997</v>
      </c>
      <c r="F41" s="61">
        <f>SUM(F9,F10,F11,F12,F13,F14,F15,F16,F28,F34,F35,F37)</f>
        <v>30371058.049999997</v>
      </c>
      <c r="G41" s="61">
        <f>SUM(G9,G10,G11,G12,G13,G14,G15,G16,G28,G34,G35,G37)</f>
        <v>-25301941.950000003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39000000</v>
      </c>
      <c r="C45" s="60">
        <f t="shared" ref="C45:G45" si="12">SUM(C46:C53)</f>
        <v>-606254</v>
      </c>
      <c r="D45" s="60">
        <f t="shared" si="12"/>
        <v>38393746</v>
      </c>
      <c r="E45" s="60">
        <f t="shared" si="12"/>
        <v>21735402</v>
      </c>
      <c r="F45" s="60">
        <f t="shared" si="12"/>
        <v>21735402</v>
      </c>
      <c r="G45" s="60">
        <f t="shared" si="12"/>
        <v>-17264598</v>
      </c>
    </row>
    <row r="46" spans="1:8" x14ac:dyDescent="0.25">
      <c r="A46" s="69" t="s">
        <v>249</v>
      </c>
      <c r="B46" s="154"/>
      <c r="C46" s="154"/>
      <c r="D46" s="154">
        <f>B46+C46</f>
        <v>0</v>
      </c>
      <c r="E46" s="154"/>
      <c r="F46" s="154"/>
      <c r="G46" s="154">
        <f>F46-B46</f>
        <v>0</v>
      </c>
    </row>
    <row r="47" spans="1:8" x14ac:dyDescent="0.25">
      <c r="A47" s="69" t="s">
        <v>250</v>
      </c>
      <c r="B47" s="154"/>
      <c r="C47" s="154"/>
      <c r="D47" s="154">
        <f t="shared" ref="D47:D53" si="13">B47+C47</f>
        <v>0</v>
      </c>
      <c r="E47" s="154"/>
      <c r="F47" s="154"/>
      <c r="G47" s="154">
        <f t="shared" ref="G47:G48" si="14">F47-B47</f>
        <v>0</v>
      </c>
    </row>
    <row r="48" spans="1:8" x14ac:dyDescent="0.25">
      <c r="A48" s="69" t="s">
        <v>251</v>
      </c>
      <c r="B48" s="153">
        <v>25800000</v>
      </c>
      <c r="C48" s="153">
        <v>-414621</v>
      </c>
      <c r="D48" s="154">
        <f t="shared" si="13"/>
        <v>25385379</v>
      </c>
      <c r="E48" s="153">
        <v>15231222</v>
      </c>
      <c r="F48" s="153">
        <v>15231222</v>
      </c>
      <c r="G48" s="154">
        <f t="shared" si="14"/>
        <v>-10568778</v>
      </c>
    </row>
    <row r="49" spans="1:7" ht="30" x14ac:dyDescent="0.25">
      <c r="A49" s="69" t="s">
        <v>252</v>
      </c>
      <c r="B49" s="153">
        <v>13200000</v>
      </c>
      <c r="C49" s="153">
        <v>-191633</v>
      </c>
      <c r="D49" s="154">
        <f t="shared" si="13"/>
        <v>13008367</v>
      </c>
      <c r="E49" s="153">
        <v>6504180</v>
      </c>
      <c r="F49" s="153">
        <v>6504180</v>
      </c>
      <c r="G49" s="154">
        <f>F49-B49</f>
        <v>-6695820</v>
      </c>
    </row>
    <row r="50" spans="1:7" x14ac:dyDescent="0.25">
      <c r="A50" s="69" t="s">
        <v>253</v>
      </c>
      <c r="B50" s="154"/>
      <c r="C50" s="154"/>
      <c r="D50" s="154">
        <f t="shared" si="13"/>
        <v>0</v>
      </c>
      <c r="E50" s="154"/>
      <c r="F50" s="154"/>
      <c r="G50" s="154">
        <f t="shared" ref="G50:G53" si="15">F50-B50</f>
        <v>0</v>
      </c>
    </row>
    <row r="51" spans="1:7" x14ac:dyDescent="0.25">
      <c r="A51" s="69" t="s">
        <v>254</v>
      </c>
      <c r="B51" s="154"/>
      <c r="C51" s="154"/>
      <c r="D51" s="154">
        <f t="shared" si="13"/>
        <v>0</v>
      </c>
      <c r="E51" s="154"/>
      <c r="F51" s="154"/>
      <c r="G51" s="154">
        <f t="shared" si="15"/>
        <v>0</v>
      </c>
    </row>
    <row r="52" spans="1:7" x14ac:dyDescent="0.25">
      <c r="A52" s="48" t="s">
        <v>255</v>
      </c>
      <c r="B52" s="154"/>
      <c r="C52" s="154"/>
      <c r="D52" s="154">
        <f t="shared" si="13"/>
        <v>0</v>
      </c>
      <c r="E52" s="154"/>
      <c r="F52" s="154"/>
      <c r="G52" s="154">
        <f t="shared" si="15"/>
        <v>0</v>
      </c>
    </row>
    <row r="53" spans="1:7" x14ac:dyDescent="0.25">
      <c r="A53" s="63" t="s">
        <v>256</v>
      </c>
      <c r="B53" s="154"/>
      <c r="C53" s="154"/>
      <c r="D53" s="154">
        <f t="shared" si="13"/>
        <v>0</v>
      </c>
      <c r="E53" s="154"/>
      <c r="F53" s="154"/>
      <c r="G53" s="154">
        <f t="shared" si="15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6">SUM(C55:C58)</f>
        <v>0</v>
      </c>
      <c r="D54" s="60">
        <f t="shared" si="16"/>
        <v>0</v>
      </c>
      <c r="E54" s="60">
        <f t="shared" si="16"/>
        <v>0</v>
      </c>
      <c r="F54" s="60">
        <f t="shared" si="16"/>
        <v>0</v>
      </c>
      <c r="G54" s="60">
        <f t="shared" si="1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7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7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17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8">SUM(C60:C61)</f>
        <v>0</v>
      </c>
      <c r="D59" s="60">
        <f t="shared" si="18"/>
        <v>0</v>
      </c>
      <c r="E59" s="60">
        <f t="shared" si="18"/>
        <v>0</v>
      </c>
      <c r="F59" s="60">
        <f t="shared" si="18"/>
        <v>0</v>
      </c>
      <c r="G59" s="60">
        <f t="shared" si="18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39000000</v>
      </c>
      <c r="C65" s="61">
        <f t="shared" ref="C65:G65" si="19">C45+C54+C59+C62+C63</f>
        <v>-606254</v>
      </c>
      <c r="D65" s="61">
        <f t="shared" si="19"/>
        <v>38393746</v>
      </c>
      <c r="E65" s="61">
        <f t="shared" si="19"/>
        <v>21735402</v>
      </c>
      <c r="F65" s="61">
        <f t="shared" si="19"/>
        <v>21735402</v>
      </c>
      <c r="G65" s="61">
        <f t="shared" si="19"/>
        <v>-17264598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0">C68</f>
        <v>0</v>
      </c>
      <c r="D67" s="61">
        <f t="shared" si="20"/>
        <v>0</v>
      </c>
      <c r="E67" s="61">
        <f t="shared" si="20"/>
        <v>0</v>
      </c>
      <c r="F67" s="61">
        <f t="shared" si="20"/>
        <v>0</v>
      </c>
      <c r="G67" s="61">
        <f t="shared" si="20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94673000</v>
      </c>
      <c r="C70" s="61">
        <f t="shared" ref="C70:G70" si="21">C41+C65+C67</f>
        <v>20470536.48</v>
      </c>
      <c r="D70" s="61">
        <f t="shared" si="21"/>
        <v>115143536.48</v>
      </c>
      <c r="E70" s="61">
        <f t="shared" si="21"/>
        <v>52106460.049999997</v>
      </c>
      <c r="F70" s="61">
        <f t="shared" si="21"/>
        <v>52106460.049999997</v>
      </c>
      <c r="G70" s="61">
        <f t="shared" si="21"/>
        <v>-42566539.950000003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19" t="s">
        <v>274</v>
      </c>
      <c r="B75" s="61">
        <f>B73+B74</f>
        <v>0</v>
      </c>
      <c r="C75" s="61">
        <f t="shared" ref="C75:G75" si="22">C73+C74</f>
        <v>0</v>
      </c>
      <c r="D75" s="61">
        <f t="shared" si="22"/>
        <v>0</v>
      </c>
      <c r="E75" s="61">
        <f t="shared" si="22"/>
        <v>0</v>
      </c>
      <c r="F75" s="61">
        <f t="shared" si="22"/>
        <v>0</v>
      </c>
      <c r="G75" s="61">
        <f t="shared" si="22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1137700</v>
      </c>
      <c r="Q3" s="18">
        <f>'Formato 5'!C9</f>
        <v>-1200</v>
      </c>
      <c r="R3" s="18">
        <f>'Formato 5'!D9</f>
        <v>1136500</v>
      </c>
      <c r="S3" s="18">
        <f>'Formato 5'!E9</f>
        <v>911826.63</v>
      </c>
      <c r="T3" s="18">
        <f>'Formato 5'!F9</f>
        <v>911826.63</v>
      </c>
      <c r="U3" s="18">
        <f>'Formato 5'!G9</f>
        <v>-225873.37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1000</v>
      </c>
      <c r="Q5" s="18">
        <f>'Formato 5'!C11</f>
        <v>0</v>
      </c>
      <c r="R5" s="18">
        <f>'Formato 5'!D11</f>
        <v>1000</v>
      </c>
      <c r="S5" s="18">
        <f>'Formato 5'!E11</f>
        <v>0</v>
      </c>
      <c r="T5" s="18">
        <f>'Formato 5'!F11</f>
        <v>0</v>
      </c>
      <c r="U5" s="18">
        <f>'Formato 5'!G11</f>
        <v>-1000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2125900</v>
      </c>
      <c r="Q6" s="18">
        <f>'Formato 5'!C12</f>
        <v>-64384.46</v>
      </c>
      <c r="R6" s="18">
        <f>'Formato 5'!D12</f>
        <v>2061515.54</v>
      </c>
      <c r="S6" s="18">
        <f>'Formato 5'!E12</f>
        <v>1068202.1599999999</v>
      </c>
      <c r="T6" s="18">
        <f>'Formato 5'!F12</f>
        <v>1068202.1599999999</v>
      </c>
      <c r="U6" s="18">
        <f>'Formato 5'!G12</f>
        <v>-1057697.8400000001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189800</v>
      </c>
      <c r="Q7" s="18">
        <f>'Formato 5'!C13</f>
        <v>-12000</v>
      </c>
      <c r="R7" s="18">
        <f>'Formato 5'!D13</f>
        <v>177800</v>
      </c>
      <c r="S7" s="18">
        <f>'Formato 5'!E13</f>
        <v>94672.320000000007</v>
      </c>
      <c r="T7" s="18">
        <f>'Formato 5'!F13</f>
        <v>94672.320000000007</v>
      </c>
      <c r="U7" s="18">
        <f>'Formato 5'!G13</f>
        <v>-95127.679999999993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218600</v>
      </c>
      <c r="Q8" s="18">
        <f>'Formato 5'!C14</f>
        <v>77584.460000000006</v>
      </c>
      <c r="R8" s="18">
        <f>'Formato 5'!D14</f>
        <v>296184.46000000002</v>
      </c>
      <c r="S8" s="18">
        <f>'Formato 5'!E14</f>
        <v>192613.59</v>
      </c>
      <c r="T8" s="18">
        <f>'Formato 5'!F14</f>
        <v>192613.59</v>
      </c>
      <c r="U8" s="18">
        <f>'Formato 5'!G14</f>
        <v>-25986.410000000003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51450000</v>
      </c>
      <c r="Q10" s="18">
        <f>'Formato 5'!C16</f>
        <v>0</v>
      </c>
      <c r="R10" s="18">
        <f>'Formato 5'!D16</f>
        <v>51450000</v>
      </c>
      <c r="S10" s="18">
        <f>'Formato 5'!E16</f>
        <v>27374286.27</v>
      </c>
      <c r="T10" s="18">
        <f>'Formato 5'!F16</f>
        <v>27374286.27</v>
      </c>
      <c r="U10" s="18">
        <f>'Formato 5'!G16</f>
        <v>-24075713.73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21000000</v>
      </c>
      <c r="Q11" s="18">
        <f>'Formato 5'!C17</f>
        <v>0</v>
      </c>
      <c r="R11" s="18">
        <f>'Formato 5'!D17</f>
        <v>21000000</v>
      </c>
      <c r="S11" s="18">
        <f>'Formato 5'!E17</f>
        <v>11404043.449999999</v>
      </c>
      <c r="T11" s="18">
        <f>'Formato 5'!F17</f>
        <v>11404043.449999999</v>
      </c>
      <c r="U11" s="18">
        <f>'Formato 5'!G17</f>
        <v>-9595956.5500000007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26150000</v>
      </c>
      <c r="Q12" s="18">
        <f>'Formato 5'!C18</f>
        <v>0</v>
      </c>
      <c r="R12" s="18">
        <f>'Formato 5'!D18</f>
        <v>26150000</v>
      </c>
      <c r="S12" s="18">
        <f>'Formato 5'!E18</f>
        <v>13690589.83</v>
      </c>
      <c r="T12" s="18">
        <f>'Formato 5'!F18</f>
        <v>13690589.83</v>
      </c>
      <c r="U12" s="18">
        <f>'Formato 5'!G18</f>
        <v>-12459410.17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400000</v>
      </c>
      <c r="Q13" s="18">
        <f>'Formato 5'!C19</f>
        <v>0</v>
      </c>
      <c r="R13" s="18">
        <f>'Formato 5'!D19</f>
        <v>400000</v>
      </c>
      <c r="S13" s="18">
        <f>'Formato 5'!E19</f>
        <v>225455.15</v>
      </c>
      <c r="T13" s="18">
        <f>'Formato 5'!F19</f>
        <v>225455.15</v>
      </c>
      <c r="U13" s="18">
        <f>'Formato 5'!G19</f>
        <v>-174544.85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1900000</v>
      </c>
      <c r="Q16" s="18">
        <f>'Formato 5'!C22</f>
        <v>0</v>
      </c>
      <c r="R16" s="18">
        <f>'Formato 5'!D22</f>
        <v>1900000</v>
      </c>
      <c r="S16" s="18">
        <f>'Formato 5'!E22</f>
        <v>798643.45</v>
      </c>
      <c r="T16" s="18">
        <f>'Formato 5'!F22</f>
        <v>798643.45</v>
      </c>
      <c r="U16" s="18">
        <f>'Formato 5'!G22</f>
        <v>-1101356.55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500000</v>
      </c>
      <c r="Q19" s="18">
        <f>'Formato 5'!C25</f>
        <v>0</v>
      </c>
      <c r="R19" s="18">
        <f>'Formato 5'!D25</f>
        <v>500000</v>
      </c>
      <c r="S19" s="18">
        <f>'Formato 5'!E25</f>
        <v>150862.39000000001</v>
      </c>
      <c r="T19" s="18">
        <f>'Formato 5'!F25</f>
        <v>150862.39000000001</v>
      </c>
      <c r="U19" s="18">
        <f>'Formato 5'!G25</f>
        <v>-349137.61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1500000</v>
      </c>
      <c r="Q20" s="18">
        <f>'Formato 5'!C26</f>
        <v>0</v>
      </c>
      <c r="R20" s="18">
        <f>'Formato 5'!D26</f>
        <v>1500000</v>
      </c>
      <c r="S20" s="18">
        <f>'Formato 5'!E26</f>
        <v>1104692</v>
      </c>
      <c r="T20" s="18">
        <f>'Formato 5'!F26</f>
        <v>1104692</v>
      </c>
      <c r="U20" s="18">
        <f>'Formato 5'!G26</f>
        <v>-395308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550000</v>
      </c>
      <c r="Q22" s="18">
        <f>'Formato 5'!C28</f>
        <v>0</v>
      </c>
      <c r="R22" s="18">
        <f>'Formato 5'!D28</f>
        <v>550000</v>
      </c>
      <c r="S22" s="18">
        <f>'Formato 5'!E28</f>
        <v>403115.47</v>
      </c>
      <c r="T22" s="18">
        <f>'Formato 5'!F28</f>
        <v>403115.47</v>
      </c>
      <c r="U22" s="18">
        <f>'Formato 5'!G28</f>
        <v>-146884.52999999997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2000</v>
      </c>
      <c r="Q23" s="18">
        <f>'Formato 5'!C29</f>
        <v>470.47</v>
      </c>
      <c r="R23" s="18">
        <f>'Formato 5'!D29</f>
        <v>2470.4700000000003</v>
      </c>
      <c r="S23" s="18">
        <f>'Formato 5'!E29</f>
        <v>2470.4699999999998</v>
      </c>
      <c r="T23" s="18">
        <f>'Formato 5'!F29</f>
        <v>2470.4699999999998</v>
      </c>
      <c r="U23" s="18">
        <f>'Formato 5'!G29</f>
        <v>470.4699999999998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50000</v>
      </c>
      <c r="Q24" s="18">
        <f>'Formato 5'!C30</f>
        <v>-10378</v>
      </c>
      <c r="R24" s="18">
        <f>'Formato 5'!D30</f>
        <v>39622</v>
      </c>
      <c r="S24" s="18">
        <f>'Formato 5'!E30</f>
        <v>33494.699999999997</v>
      </c>
      <c r="T24" s="18">
        <f>'Formato 5'!F30</f>
        <v>33494.699999999997</v>
      </c>
      <c r="U24" s="18">
        <f>'Formato 5'!G30</f>
        <v>-16505.300000000003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206000</v>
      </c>
      <c r="Q25" s="18">
        <f>'Formato 5'!C31</f>
        <v>-25000</v>
      </c>
      <c r="R25" s="18">
        <f>'Formato 5'!D31</f>
        <v>181000</v>
      </c>
      <c r="S25" s="18">
        <f>'Formato 5'!E31</f>
        <v>159613.63</v>
      </c>
      <c r="T25" s="18">
        <f>'Formato 5'!F31</f>
        <v>159613.63</v>
      </c>
      <c r="U25" s="18">
        <f>'Formato 5'!G31</f>
        <v>-46386.369999999995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1000</v>
      </c>
      <c r="Q26" s="18">
        <f>'Formato 5'!C32</f>
        <v>0</v>
      </c>
      <c r="R26" s="18">
        <f>'Formato 5'!D32</f>
        <v>1000</v>
      </c>
      <c r="S26" s="18">
        <f>'Formato 5'!E32</f>
        <v>0</v>
      </c>
      <c r="T26" s="18">
        <f>'Formato 5'!F32</f>
        <v>0</v>
      </c>
      <c r="U26" s="18">
        <f>'Formato 5'!G32</f>
        <v>-1000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291000</v>
      </c>
      <c r="Q27" s="18">
        <f>'Formato 5'!C33</f>
        <v>34907.53</v>
      </c>
      <c r="R27" s="18">
        <f>'Formato 5'!D33</f>
        <v>325907.53000000003</v>
      </c>
      <c r="S27" s="18">
        <f>'Formato 5'!E33</f>
        <v>207536.67</v>
      </c>
      <c r="T27" s="18">
        <f>'Formato 5'!F33</f>
        <v>207536.67</v>
      </c>
      <c r="U27" s="18">
        <f>'Formato 5'!G33</f>
        <v>-83463.329999999987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21076790.48</v>
      </c>
      <c r="R29" s="18">
        <f>'Formato 5'!D35</f>
        <v>21076790.48</v>
      </c>
      <c r="S29" s="18">
        <f>'Formato 5'!E35</f>
        <v>326341.61</v>
      </c>
      <c r="T29" s="18">
        <f>'Formato 5'!F35</f>
        <v>326341.61</v>
      </c>
      <c r="U29" s="18">
        <f>'Formato 5'!G35</f>
        <v>326341.61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21076790.48</v>
      </c>
      <c r="R30" s="18">
        <f>'Formato 5'!D36</f>
        <v>21076790.48</v>
      </c>
      <c r="S30" s="18">
        <f>'Formato 5'!E36</f>
        <v>326341.61</v>
      </c>
      <c r="T30" s="18">
        <f>'Formato 5'!F36</f>
        <v>326341.61</v>
      </c>
      <c r="U30" s="18">
        <f>'Formato 5'!G36</f>
        <v>326341.61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55673000</v>
      </c>
      <c r="Q34">
        <f>'Formato 5'!C41</f>
        <v>21076790.48</v>
      </c>
      <c r="R34">
        <f>'Formato 5'!D41</f>
        <v>76749790.480000004</v>
      </c>
      <c r="S34">
        <f>'Formato 5'!E41</f>
        <v>30371058.049999997</v>
      </c>
      <c r="T34">
        <f>'Formato 5'!F41</f>
        <v>30371058.049999997</v>
      </c>
      <c r="U34">
        <f>'Formato 5'!G41</f>
        <v>-25301941.950000003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39000000</v>
      </c>
      <c r="Q37">
        <f>'Formato 5'!C45</f>
        <v>-606254</v>
      </c>
      <c r="R37">
        <f>'Formato 5'!D45</f>
        <v>38393746</v>
      </c>
      <c r="S37">
        <f>'Formato 5'!E45</f>
        <v>21735402</v>
      </c>
      <c r="T37">
        <f>'Formato 5'!F45</f>
        <v>21735402</v>
      </c>
      <c r="U37">
        <f>'Formato 5'!G45</f>
        <v>-17264598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25800000</v>
      </c>
      <c r="Q40">
        <f>'Formato 5'!C48</f>
        <v>-414621</v>
      </c>
      <c r="R40">
        <f>'Formato 5'!D48</f>
        <v>25385379</v>
      </c>
      <c r="S40">
        <f>'Formato 5'!E48</f>
        <v>15231222</v>
      </c>
      <c r="T40">
        <f>'Formato 5'!F48</f>
        <v>15231222</v>
      </c>
      <c r="U40">
        <f>'Formato 5'!G48</f>
        <v>-10568778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13200000</v>
      </c>
      <c r="Q41">
        <f>'Formato 5'!C49</f>
        <v>-191633</v>
      </c>
      <c r="R41">
        <f>'Formato 5'!D49</f>
        <v>13008367</v>
      </c>
      <c r="S41">
        <f>'Formato 5'!E49</f>
        <v>6504180</v>
      </c>
      <c r="T41">
        <f>'Formato 5'!F49</f>
        <v>6504180</v>
      </c>
      <c r="U41">
        <f>'Formato 5'!G49</f>
        <v>-6695820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39000000</v>
      </c>
      <c r="Q56">
        <f>'Formato 5'!C65</f>
        <v>-606254</v>
      </c>
      <c r="R56">
        <f>'Formato 5'!D65</f>
        <v>38393746</v>
      </c>
      <c r="S56">
        <f>'Formato 5'!E65</f>
        <v>21735402</v>
      </c>
      <c r="T56">
        <f>'Formato 5'!F65</f>
        <v>21735402</v>
      </c>
      <c r="U56">
        <f>'Formato 5'!G65</f>
        <v>-17264598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70" zoomScaleNormal="70" zoomScalePageLayoutView="90" workbookViewId="0">
      <selection activeCell="A157" sqref="A157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4" t="s">
        <v>3285</v>
      </c>
      <c r="B1" s="183"/>
      <c r="C1" s="183"/>
      <c r="D1" s="183"/>
      <c r="E1" s="183"/>
      <c r="F1" s="183"/>
      <c r="G1" s="183"/>
    </row>
    <row r="2" spans="1:7" ht="14.25" x14ac:dyDescent="0.45">
      <c r="A2" s="187" t="str">
        <f>ENTE_PUBLICO_A</f>
        <v>MUNICIPIO DE TIERRA BLANCA, Gobierno del Estado de Guanajuato (a)</v>
      </c>
      <c r="B2" s="187"/>
      <c r="C2" s="187"/>
      <c r="D2" s="187"/>
      <c r="E2" s="187"/>
      <c r="F2" s="187"/>
      <c r="G2" s="187"/>
    </row>
    <row r="3" spans="1:7" x14ac:dyDescent="0.25">
      <c r="A3" s="188" t="s">
        <v>277</v>
      </c>
      <c r="B3" s="188"/>
      <c r="C3" s="188"/>
      <c r="D3" s="188"/>
      <c r="E3" s="188"/>
      <c r="F3" s="188"/>
      <c r="G3" s="188"/>
    </row>
    <row r="4" spans="1:7" x14ac:dyDescent="0.25">
      <c r="A4" s="188" t="s">
        <v>278</v>
      </c>
      <c r="B4" s="188"/>
      <c r="C4" s="188"/>
      <c r="D4" s="188"/>
      <c r="E4" s="188"/>
      <c r="F4" s="188"/>
      <c r="G4" s="188"/>
    </row>
    <row r="5" spans="1:7" ht="14.25" x14ac:dyDescent="0.45">
      <c r="A5" s="189" t="str">
        <f>TRIMESTRE</f>
        <v>Del 1 de enero al 30 de junio de 2021 (b)</v>
      </c>
      <c r="B5" s="189"/>
      <c r="C5" s="189"/>
      <c r="D5" s="189"/>
      <c r="E5" s="189"/>
      <c r="F5" s="189"/>
      <c r="G5" s="189"/>
    </row>
    <row r="6" spans="1:7" ht="14.25" x14ac:dyDescent="0.45">
      <c r="A6" s="181" t="s">
        <v>118</v>
      </c>
      <c r="B6" s="181"/>
      <c r="C6" s="181"/>
      <c r="D6" s="181"/>
      <c r="E6" s="181"/>
      <c r="F6" s="181"/>
      <c r="G6" s="181"/>
    </row>
    <row r="7" spans="1:7" ht="15" customHeight="1" x14ac:dyDescent="0.25">
      <c r="A7" s="185" t="s">
        <v>0</v>
      </c>
      <c r="B7" s="185" t="s">
        <v>279</v>
      </c>
      <c r="C7" s="185"/>
      <c r="D7" s="185"/>
      <c r="E7" s="185"/>
      <c r="F7" s="185"/>
      <c r="G7" s="186" t="s">
        <v>280</v>
      </c>
    </row>
    <row r="8" spans="1:7" ht="30" x14ac:dyDescent="0.25">
      <c r="A8" s="185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5"/>
    </row>
    <row r="9" spans="1:7" ht="14.25" x14ac:dyDescent="0.45">
      <c r="A9" s="82" t="s">
        <v>285</v>
      </c>
      <c r="B9" s="79">
        <f>SUM(B10,B18,B28,B38,B48,B58,B62,B71,B75)</f>
        <v>55673000</v>
      </c>
      <c r="C9" s="79">
        <f t="shared" ref="C9:G9" si="0">SUM(C10,C18,C28,C38,C48,C58,C62,C71,C75)</f>
        <v>7266745.1099999994</v>
      </c>
      <c r="D9" s="79">
        <f t="shared" si="0"/>
        <v>62939745.109999999</v>
      </c>
      <c r="E9" s="79">
        <f t="shared" si="0"/>
        <v>22084318.109999999</v>
      </c>
      <c r="F9" s="79">
        <f t="shared" si="0"/>
        <v>22084318.109999999</v>
      </c>
      <c r="G9" s="79">
        <f t="shared" si="0"/>
        <v>40855427</v>
      </c>
    </row>
    <row r="10" spans="1:7" ht="14.25" x14ac:dyDescent="0.45">
      <c r="A10" s="83" t="s">
        <v>286</v>
      </c>
      <c r="B10" s="80">
        <f>SUM(B11:B17)</f>
        <v>28811035.859999999</v>
      </c>
      <c r="C10" s="80">
        <f t="shared" ref="C10:F10" si="1">SUM(C11:C17)</f>
        <v>695158.05999999994</v>
      </c>
      <c r="D10" s="80">
        <f t="shared" si="1"/>
        <v>29506193.920000002</v>
      </c>
      <c r="E10" s="80">
        <f t="shared" si="1"/>
        <v>11090566.1</v>
      </c>
      <c r="F10" s="80">
        <f t="shared" si="1"/>
        <v>11090566.1</v>
      </c>
      <c r="G10" s="80">
        <f>SUM(G11:G17)</f>
        <v>18415627.82</v>
      </c>
    </row>
    <row r="11" spans="1:7" x14ac:dyDescent="0.25">
      <c r="A11" s="84" t="s">
        <v>287</v>
      </c>
      <c r="B11" s="155">
        <v>21418218.25</v>
      </c>
      <c r="C11" s="155">
        <v>338758.16</v>
      </c>
      <c r="D11" s="156">
        <f>B11+C11</f>
        <v>21756976.41</v>
      </c>
      <c r="E11" s="155">
        <v>10168915.210000001</v>
      </c>
      <c r="F11" s="155">
        <v>10168915.210000001</v>
      </c>
      <c r="G11" s="80">
        <f>D11-E11</f>
        <v>11588061.199999999</v>
      </c>
    </row>
    <row r="12" spans="1:7" x14ac:dyDescent="0.25">
      <c r="A12" s="84" t="s">
        <v>288</v>
      </c>
      <c r="B12" s="155">
        <v>1077558.08</v>
      </c>
      <c r="C12" s="155">
        <v>184960.15</v>
      </c>
      <c r="D12" s="156">
        <f t="shared" ref="D12:D17" si="2">B12+C12</f>
        <v>1262518.23</v>
      </c>
      <c r="E12" s="155">
        <v>479224.22</v>
      </c>
      <c r="F12" s="155">
        <v>479224.22</v>
      </c>
      <c r="G12" s="80">
        <f>D12-E12</f>
        <v>783294.01</v>
      </c>
    </row>
    <row r="13" spans="1:7" x14ac:dyDescent="0.25">
      <c r="A13" s="84" t="s">
        <v>289</v>
      </c>
      <c r="B13" s="155">
        <v>3442622.54</v>
      </c>
      <c r="C13" s="155">
        <v>111439.75</v>
      </c>
      <c r="D13" s="156">
        <f t="shared" si="2"/>
        <v>3554062.29</v>
      </c>
      <c r="E13" s="155">
        <v>179794.45</v>
      </c>
      <c r="F13" s="155">
        <v>179794.45</v>
      </c>
      <c r="G13" s="80">
        <f t="shared" ref="G13:G17" si="3">D13-E13</f>
        <v>3374267.84</v>
      </c>
    </row>
    <row r="14" spans="1:7" x14ac:dyDescent="0.25">
      <c r="A14" s="84" t="s">
        <v>290</v>
      </c>
      <c r="B14" s="155">
        <v>215441.92000000001</v>
      </c>
      <c r="C14" s="155">
        <v>60000</v>
      </c>
      <c r="D14" s="156">
        <f t="shared" si="2"/>
        <v>275441.92000000004</v>
      </c>
      <c r="E14" s="155">
        <v>52771.199999999997</v>
      </c>
      <c r="F14" s="155">
        <v>52771.199999999997</v>
      </c>
      <c r="G14" s="80">
        <f t="shared" si="3"/>
        <v>222670.72000000003</v>
      </c>
    </row>
    <row r="15" spans="1:7" x14ac:dyDescent="0.25">
      <c r="A15" s="84" t="s">
        <v>291</v>
      </c>
      <c r="B15" s="155">
        <v>2297195.0699999998</v>
      </c>
      <c r="C15" s="155">
        <v>3273.9</v>
      </c>
      <c r="D15" s="156">
        <f t="shared" si="2"/>
        <v>2300468.9699999997</v>
      </c>
      <c r="E15" s="155">
        <v>209861.02</v>
      </c>
      <c r="F15" s="155">
        <v>209861.02</v>
      </c>
      <c r="G15" s="80">
        <f t="shared" si="3"/>
        <v>2090607.9499999997</v>
      </c>
    </row>
    <row r="16" spans="1:7" x14ac:dyDescent="0.25">
      <c r="A16" s="84" t="s">
        <v>292</v>
      </c>
      <c r="B16" s="155">
        <v>360000</v>
      </c>
      <c r="C16" s="155">
        <v>-3273.9</v>
      </c>
      <c r="D16" s="156">
        <f t="shared" si="2"/>
        <v>356726.1</v>
      </c>
      <c r="E16" s="155">
        <v>0</v>
      </c>
      <c r="F16" s="155">
        <v>0</v>
      </c>
      <c r="G16" s="80">
        <f t="shared" si="3"/>
        <v>356726.1</v>
      </c>
    </row>
    <row r="17" spans="1:7" x14ac:dyDescent="0.25">
      <c r="A17" s="84" t="s">
        <v>293</v>
      </c>
      <c r="B17" s="156"/>
      <c r="C17" s="156"/>
      <c r="D17" s="156">
        <f t="shared" si="2"/>
        <v>0</v>
      </c>
      <c r="E17" s="156"/>
      <c r="F17" s="156"/>
      <c r="G17" s="80">
        <f t="shared" si="3"/>
        <v>0</v>
      </c>
    </row>
    <row r="18" spans="1:7" x14ac:dyDescent="0.25">
      <c r="A18" s="83" t="s">
        <v>294</v>
      </c>
      <c r="B18" s="80">
        <f>SUM(B19:B27)</f>
        <v>4398700</v>
      </c>
      <c r="C18" s="80">
        <f t="shared" ref="C18:F18" si="4">SUM(C19:C27)</f>
        <v>-962788.37</v>
      </c>
      <c r="D18" s="80">
        <f t="shared" si="4"/>
        <v>3435911.63</v>
      </c>
      <c r="E18" s="80">
        <f t="shared" si="4"/>
        <v>2014884.1099999999</v>
      </c>
      <c r="F18" s="80">
        <f t="shared" si="4"/>
        <v>2014884.1099999999</v>
      </c>
      <c r="G18" s="80">
        <f>SUM(G19:G27)</f>
        <v>1421027.5199999998</v>
      </c>
    </row>
    <row r="19" spans="1:7" x14ac:dyDescent="0.25">
      <c r="A19" s="84" t="s">
        <v>295</v>
      </c>
      <c r="B19" s="155">
        <v>622500</v>
      </c>
      <c r="C19" s="155">
        <v>14470.94</v>
      </c>
      <c r="D19" s="156">
        <f t="shared" ref="D19:D27" si="5">B19+C19</f>
        <v>636970.93999999994</v>
      </c>
      <c r="E19" s="155">
        <v>181104.7</v>
      </c>
      <c r="F19" s="155">
        <v>181104.7</v>
      </c>
      <c r="G19" s="80">
        <f>D19-E19</f>
        <v>455866.23999999993</v>
      </c>
    </row>
    <row r="20" spans="1:7" x14ac:dyDescent="0.25">
      <c r="A20" s="84" t="s">
        <v>296</v>
      </c>
      <c r="B20" s="155">
        <v>279000</v>
      </c>
      <c r="C20" s="155">
        <v>-3246</v>
      </c>
      <c r="D20" s="156">
        <f t="shared" si="5"/>
        <v>275754</v>
      </c>
      <c r="E20" s="155">
        <v>122101.54</v>
      </c>
      <c r="F20" s="155">
        <v>122101.54</v>
      </c>
      <c r="G20" s="80">
        <f t="shared" ref="G20:G27" si="6">D20-E20</f>
        <v>153652.46000000002</v>
      </c>
    </row>
    <row r="21" spans="1:7" x14ac:dyDescent="0.25">
      <c r="A21" s="84" t="s">
        <v>297</v>
      </c>
      <c r="B21" s="156"/>
      <c r="C21" s="156"/>
      <c r="D21" s="156">
        <f t="shared" si="5"/>
        <v>0</v>
      </c>
      <c r="E21" s="156"/>
      <c r="F21" s="156"/>
      <c r="G21" s="80">
        <f t="shared" si="6"/>
        <v>0</v>
      </c>
    </row>
    <row r="22" spans="1:7" x14ac:dyDescent="0.25">
      <c r="A22" s="84" t="s">
        <v>298</v>
      </c>
      <c r="B22" s="155">
        <v>465700</v>
      </c>
      <c r="C22" s="155">
        <v>172151.6</v>
      </c>
      <c r="D22" s="156">
        <f t="shared" si="5"/>
        <v>637851.6</v>
      </c>
      <c r="E22" s="155">
        <v>340644.7</v>
      </c>
      <c r="F22" s="155">
        <v>340644.7</v>
      </c>
      <c r="G22" s="80">
        <f t="shared" si="6"/>
        <v>297206.89999999997</v>
      </c>
    </row>
    <row r="23" spans="1:7" x14ac:dyDescent="0.25">
      <c r="A23" s="84" t="s">
        <v>299</v>
      </c>
      <c r="B23" s="155">
        <v>185000</v>
      </c>
      <c r="C23" s="155">
        <v>-5022.3999999999996</v>
      </c>
      <c r="D23" s="156">
        <f t="shared" si="5"/>
        <v>179977.60000000001</v>
      </c>
      <c r="E23" s="155">
        <v>71153.460000000006</v>
      </c>
      <c r="F23" s="155">
        <v>71153.460000000006</v>
      </c>
      <c r="G23" s="80">
        <f t="shared" si="6"/>
        <v>108824.14</v>
      </c>
    </row>
    <row r="24" spans="1:7" x14ac:dyDescent="0.25">
      <c r="A24" s="84" t="s">
        <v>300</v>
      </c>
      <c r="B24" s="155">
        <v>2598500</v>
      </c>
      <c r="C24" s="155">
        <v>-1117977.26</v>
      </c>
      <c r="D24" s="156">
        <f t="shared" si="5"/>
        <v>1480522.74</v>
      </c>
      <c r="E24" s="155">
        <v>1263010.07</v>
      </c>
      <c r="F24" s="155">
        <v>1263010.07</v>
      </c>
      <c r="G24" s="80">
        <f t="shared" si="6"/>
        <v>217512.66999999993</v>
      </c>
    </row>
    <row r="25" spans="1:7" x14ac:dyDescent="0.25">
      <c r="A25" s="84" t="s">
        <v>301</v>
      </c>
      <c r="B25" s="155">
        <v>164000</v>
      </c>
      <c r="C25" s="155">
        <v>-32665.25</v>
      </c>
      <c r="D25" s="156">
        <f t="shared" si="5"/>
        <v>131334.75</v>
      </c>
      <c r="E25" s="155">
        <v>14876.24</v>
      </c>
      <c r="F25" s="155">
        <v>14876.24</v>
      </c>
      <c r="G25" s="80">
        <f t="shared" si="6"/>
        <v>116458.51</v>
      </c>
    </row>
    <row r="26" spans="1:7" x14ac:dyDescent="0.25">
      <c r="A26" s="84" t="s">
        <v>302</v>
      </c>
      <c r="B26" s="156"/>
      <c r="C26" s="156"/>
      <c r="D26" s="156">
        <f t="shared" si="5"/>
        <v>0</v>
      </c>
      <c r="E26" s="156"/>
      <c r="F26" s="156"/>
      <c r="G26" s="80">
        <f t="shared" si="6"/>
        <v>0</v>
      </c>
    </row>
    <row r="27" spans="1:7" x14ac:dyDescent="0.25">
      <c r="A27" s="84" t="s">
        <v>303</v>
      </c>
      <c r="B27" s="155">
        <v>84000</v>
      </c>
      <c r="C27" s="155">
        <v>9500</v>
      </c>
      <c r="D27" s="156">
        <f t="shared" si="5"/>
        <v>93500</v>
      </c>
      <c r="E27" s="155">
        <v>21993.4</v>
      </c>
      <c r="F27" s="155">
        <v>21993.4</v>
      </c>
      <c r="G27" s="80">
        <f t="shared" si="6"/>
        <v>71506.600000000006</v>
      </c>
    </row>
    <row r="28" spans="1:7" x14ac:dyDescent="0.25">
      <c r="A28" s="83" t="s">
        <v>304</v>
      </c>
      <c r="B28" s="80">
        <f>SUM(B29:B37)</f>
        <v>11788310.42</v>
      </c>
      <c r="C28" s="80">
        <f t="shared" ref="C28:G28" si="7">SUM(C29:C37)</f>
        <v>590060.65</v>
      </c>
      <c r="D28" s="80">
        <f t="shared" si="7"/>
        <v>12378371.069999998</v>
      </c>
      <c r="E28" s="80">
        <f t="shared" si="7"/>
        <v>2704444.0700000003</v>
      </c>
      <c r="F28" s="80">
        <f t="shared" si="7"/>
        <v>2704444.0700000003</v>
      </c>
      <c r="G28" s="80">
        <f t="shared" si="7"/>
        <v>9673927</v>
      </c>
    </row>
    <row r="29" spans="1:7" x14ac:dyDescent="0.25">
      <c r="A29" s="84" t="s">
        <v>305</v>
      </c>
      <c r="B29" s="155">
        <v>2319300</v>
      </c>
      <c r="C29" s="155">
        <v>18188.009999999998</v>
      </c>
      <c r="D29" s="156">
        <f t="shared" ref="D29:D37" si="8">B29+C29</f>
        <v>2337488.0099999998</v>
      </c>
      <c r="E29" s="155">
        <v>1061933.32</v>
      </c>
      <c r="F29" s="155">
        <v>1061933.32</v>
      </c>
      <c r="G29" s="80">
        <f>D29-E29</f>
        <v>1275554.6899999997</v>
      </c>
    </row>
    <row r="30" spans="1:7" x14ac:dyDescent="0.25">
      <c r="A30" s="84" t="s">
        <v>306</v>
      </c>
      <c r="B30" s="155">
        <v>331000</v>
      </c>
      <c r="C30" s="155">
        <v>-3000</v>
      </c>
      <c r="D30" s="156">
        <f t="shared" si="8"/>
        <v>328000</v>
      </c>
      <c r="E30" s="155">
        <v>58500.09</v>
      </c>
      <c r="F30" s="155">
        <v>58500.09</v>
      </c>
      <c r="G30" s="80">
        <f t="shared" ref="G30:G37" si="9">D30-E30</f>
        <v>269499.91000000003</v>
      </c>
    </row>
    <row r="31" spans="1:7" x14ac:dyDescent="0.25">
      <c r="A31" s="84" t="s">
        <v>307</v>
      </c>
      <c r="B31" s="155">
        <v>107000</v>
      </c>
      <c r="C31" s="155">
        <v>12504.8</v>
      </c>
      <c r="D31" s="156">
        <f t="shared" si="8"/>
        <v>119504.8</v>
      </c>
      <c r="E31" s="155">
        <v>12504.8</v>
      </c>
      <c r="F31" s="155">
        <v>12504.8</v>
      </c>
      <c r="G31" s="80">
        <f t="shared" si="9"/>
        <v>107000</v>
      </c>
    </row>
    <row r="32" spans="1:7" x14ac:dyDescent="0.25">
      <c r="A32" s="84" t="s">
        <v>308</v>
      </c>
      <c r="B32" s="155">
        <v>327000</v>
      </c>
      <c r="C32" s="155">
        <v>12791.31</v>
      </c>
      <c r="D32" s="156">
        <f t="shared" si="8"/>
        <v>339791.31</v>
      </c>
      <c r="E32" s="155">
        <v>188326.75</v>
      </c>
      <c r="F32" s="155">
        <v>188326.75</v>
      </c>
      <c r="G32" s="80">
        <f t="shared" si="9"/>
        <v>151464.56</v>
      </c>
    </row>
    <row r="33" spans="1:7" x14ac:dyDescent="0.25">
      <c r="A33" s="84" t="s">
        <v>309</v>
      </c>
      <c r="B33" s="155">
        <v>1971900</v>
      </c>
      <c r="C33" s="155">
        <v>56993.52</v>
      </c>
      <c r="D33" s="156">
        <f t="shared" si="8"/>
        <v>2028893.52</v>
      </c>
      <c r="E33" s="155">
        <v>545413.75</v>
      </c>
      <c r="F33" s="155">
        <v>545413.75</v>
      </c>
      <c r="G33" s="80">
        <f t="shared" si="9"/>
        <v>1483479.77</v>
      </c>
    </row>
    <row r="34" spans="1:7" x14ac:dyDescent="0.25">
      <c r="A34" s="84" t="s">
        <v>310</v>
      </c>
      <c r="B34" s="155">
        <v>332000</v>
      </c>
      <c r="C34" s="155">
        <v>-35401.94</v>
      </c>
      <c r="D34" s="156">
        <f t="shared" si="8"/>
        <v>296598.06</v>
      </c>
      <c r="E34" s="155">
        <v>34104.1</v>
      </c>
      <c r="F34" s="155">
        <v>34104.1</v>
      </c>
      <c r="G34" s="80">
        <f t="shared" si="9"/>
        <v>262493.96000000002</v>
      </c>
    </row>
    <row r="35" spans="1:7" x14ac:dyDescent="0.25">
      <c r="A35" s="84" t="s">
        <v>311</v>
      </c>
      <c r="B35" s="155">
        <v>297300</v>
      </c>
      <c r="C35" s="155">
        <v>13259.95</v>
      </c>
      <c r="D35" s="156">
        <f t="shared" si="8"/>
        <v>310559.95</v>
      </c>
      <c r="E35" s="155">
        <v>80757.89</v>
      </c>
      <c r="F35" s="155">
        <v>80757.89</v>
      </c>
      <c r="G35" s="80">
        <f t="shared" si="9"/>
        <v>229802.06</v>
      </c>
    </row>
    <row r="36" spans="1:7" x14ac:dyDescent="0.25">
      <c r="A36" s="84" t="s">
        <v>312</v>
      </c>
      <c r="B36" s="155">
        <v>5429000</v>
      </c>
      <c r="C36" s="155">
        <v>8620</v>
      </c>
      <c r="D36" s="156">
        <f t="shared" si="8"/>
        <v>5437620</v>
      </c>
      <c r="E36" s="155">
        <v>88901.37</v>
      </c>
      <c r="F36" s="155">
        <v>88901.37</v>
      </c>
      <c r="G36" s="80">
        <f t="shared" si="9"/>
        <v>5348718.63</v>
      </c>
    </row>
    <row r="37" spans="1:7" x14ac:dyDescent="0.25">
      <c r="A37" s="84" t="s">
        <v>313</v>
      </c>
      <c r="B37" s="155">
        <v>673810.42</v>
      </c>
      <c r="C37" s="155">
        <v>506105</v>
      </c>
      <c r="D37" s="156">
        <f t="shared" si="8"/>
        <v>1179915.42</v>
      </c>
      <c r="E37" s="155">
        <v>634002</v>
      </c>
      <c r="F37" s="155">
        <v>634002</v>
      </c>
      <c r="G37" s="80">
        <f t="shared" si="9"/>
        <v>545913.41999999993</v>
      </c>
    </row>
    <row r="38" spans="1:7" x14ac:dyDescent="0.25">
      <c r="A38" s="83" t="s">
        <v>314</v>
      </c>
      <c r="B38" s="80">
        <f>SUM(B39:B47)</f>
        <v>8020000</v>
      </c>
      <c r="C38" s="80">
        <f t="shared" ref="C38:G38" si="10">SUM(C39:C47)</f>
        <v>1697194.48</v>
      </c>
      <c r="D38" s="80">
        <f t="shared" si="10"/>
        <v>9717194.4800000004</v>
      </c>
      <c r="E38" s="80">
        <f t="shared" si="10"/>
        <v>4274371.92</v>
      </c>
      <c r="F38" s="80">
        <f t="shared" si="10"/>
        <v>4274371.92</v>
      </c>
      <c r="G38" s="80">
        <f t="shared" si="10"/>
        <v>5442822.5600000005</v>
      </c>
    </row>
    <row r="39" spans="1:7" x14ac:dyDescent="0.25">
      <c r="A39" s="84" t="s">
        <v>315</v>
      </c>
      <c r="B39" s="156"/>
      <c r="C39" s="156"/>
      <c r="D39" s="156">
        <f t="shared" ref="D39:D47" si="11">B39+C39</f>
        <v>0</v>
      </c>
      <c r="E39" s="156"/>
      <c r="F39" s="156"/>
      <c r="G39" s="80">
        <f>D39-E39</f>
        <v>0</v>
      </c>
    </row>
    <row r="40" spans="1:7" x14ac:dyDescent="0.25">
      <c r="A40" s="84" t="s">
        <v>316</v>
      </c>
      <c r="B40" s="155">
        <v>5520000</v>
      </c>
      <c r="C40" s="155">
        <v>800000</v>
      </c>
      <c r="D40" s="156">
        <f t="shared" si="11"/>
        <v>6320000</v>
      </c>
      <c r="E40" s="155">
        <v>2730000</v>
      </c>
      <c r="F40" s="155">
        <v>2730000</v>
      </c>
      <c r="G40" s="80">
        <f t="shared" ref="G40:G47" si="12">D40-E40</f>
        <v>3590000</v>
      </c>
    </row>
    <row r="41" spans="1:7" x14ac:dyDescent="0.25">
      <c r="A41" s="84" t="s">
        <v>317</v>
      </c>
      <c r="B41" s="156"/>
      <c r="C41" s="156"/>
      <c r="D41" s="156">
        <f t="shared" si="11"/>
        <v>0</v>
      </c>
      <c r="E41" s="156"/>
      <c r="F41" s="156"/>
      <c r="G41" s="80">
        <f t="shared" si="12"/>
        <v>0</v>
      </c>
    </row>
    <row r="42" spans="1:7" x14ac:dyDescent="0.25">
      <c r="A42" s="84" t="s">
        <v>318</v>
      </c>
      <c r="B42" s="155">
        <v>2500000</v>
      </c>
      <c r="C42" s="155">
        <v>897194.48</v>
      </c>
      <c r="D42" s="156">
        <f t="shared" si="11"/>
        <v>3397194.48</v>
      </c>
      <c r="E42" s="155">
        <v>1544371.92</v>
      </c>
      <c r="F42" s="155">
        <v>1544371.92</v>
      </c>
      <c r="G42" s="80">
        <f t="shared" si="12"/>
        <v>1852822.56</v>
      </c>
    </row>
    <row r="43" spans="1:7" x14ac:dyDescent="0.25">
      <c r="A43" s="84" t="s">
        <v>319</v>
      </c>
      <c r="B43" s="156"/>
      <c r="C43" s="156"/>
      <c r="D43" s="156">
        <f t="shared" si="11"/>
        <v>0</v>
      </c>
      <c r="E43" s="156"/>
      <c r="F43" s="156"/>
      <c r="G43" s="80">
        <f t="shared" si="12"/>
        <v>0</v>
      </c>
    </row>
    <row r="44" spans="1:7" x14ac:dyDescent="0.25">
      <c r="A44" s="84" t="s">
        <v>320</v>
      </c>
      <c r="B44" s="156"/>
      <c r="C44" s="156"/>
      <c r="D44" s="156">
        <f t="shared" si="11"/>
        <v>0</v>
      </c>
      <c r="E44" s="156"/>
      <c r="F44" s="156"/>
      <c r="G44" s="80">
        <f t="shared" si="12"/>
        <v>0</v>
      </c>
    </row>
    <row r="45" spans="1:7" x14ac:dyDescent="0.25">
      <c r="A45" s="84" t="s">
        <v>321</v>
      </c>
      <c r="B45" s="156"/>
      <c r="C45" s="156"/>
      <c r="D45" s="156">
        <f t="shared" si="11"/>
        <v>0</v>
      </c>
      <c r="E45" s="156"/>
      <c r="F45" s="156"/>
      <c r="G45" s="80">
        <f t="shared" si="12"/>
        <v>0</v>
      </c>
    </row>
    <row r="46" spans="1:7" x14ac:dyDescent="0.25">
      <c r="A46" s="84" t="s">
        <v>322</v>
      </c>
      <c r="B46" s="156"/>
      <c r="C46" s="156"/>
      <c r="D46" s="156">
        <f t="shared" si="11"/>
        <v>0</v>
      </c>
      <c r="E46" s="156"/>
      <c r="F46" s="156"/>
      <c r="G46" s="80">
        <f t="shared" si="12"/>
        <v>0</v>
      </c>
    </row>
    <row r="47" spans="1:7" x14ac:dyDescent="0.25">
      <c r="A47" s="84" t="s">
        <v>323</v>
      </c>
      <c r="B47" s="156"/>
      <c r="C47" s="156"/>
      <c r="D47" s="156">
        <f t="shared" si="11"/>
        <v>0</v>
      </c>
      <c r="E47" s="156"/>
      <c r="F47" s="156"/>
      <c r="G47" s="80">
        <f t="shared" si="12"/>
        <v>0</v>
      </c>
    </row>
    <row r="48" spans="1:7" x14ac:dyDescent="0.25">
      <c r="A48" s="83" t="s">
        <v>324</v>
      </c>
      <c r="B48" s="80">
        <f>SUM(B49:B57)</f>
        <v>754000</v>
      </c>
      <c r="C48" s="80">
        <f t="shared" ref="C48:G48" si="13">SUM(C49:C57)</f>
        <v>-88993.33</v>
      </c>
      <c r="D48" s="80">
        <f t="shared" si="13"/>
        <v>665006.66999999993</v>
      </c>
      <c r="E48" s="80">
        <f t="shared" si="13"/>
        <v>64290.01</v>
      </c>
      <c r="F48" s="80">
        <f t="shared" si="13"/>
        <v>64290.01</v>
      </c>
      <c r="G48" s="80">
        <f t="shared" si="13"/>
        <v>600716.65999999992</v>
      </c>
    </row>
    <row r="49" spans="1:7" x14ac:dyDescent="0.25">
      <c r="A49" s="84" t="s">
        <v>325</v>
      </c>
      <c r="B49" s="155">
        <v>592000</v>
      </c>
      <c r="C49" s="155">
        <v>-55332.31</v>
      </c>
      <c r="D49" s="156">
        <f t="shared" ref="D49:D57" si="14">B49+C49</f>
        <v>536667.68999999994</v>
      </c>
      <c r="E49" s="155">
        <v>64290.01</v>
      </c>
      <c r="F49" s="155">
        <v>64290.01</v>
      </c>
      <c r="G49" s="80">
        <f>D49-E49</f>
        <v>472377.67999999993</v>
      </c>
    </row>
    <row r="50" spans="1:7" x14ac:dyDescent="0.25">
      <c r="A50" s="84" t="s">
        <v>326</v>
      </c>
      <c r="B50" s="155">
        <v>44000</v>
      </c>
      <c r="C50" s="155">
        <v>-7000</v>
      </c>
      <c r="D50" s="156">
        <f t="shared" si="14"/>
        <v>37000</v>
      </c>
      <c r="E50" s="155">
        <v>0</v>
      </c>
      <c r="F50" s="155">
        <v>0</v>
      </c>
      <c r="G50" s="80">
        <f t="shared" ref="G50:G57" si="15">D50-E50</f>
        <v>37000</v>
      </c>
    </row>
    <row r="51" spans="1:7" x14ac:dyDescent="0.25">
      <c r="A51" s="84" t="s">
        <v>327</v>
      </c>
      <c r="B51" s="155">
        <v>10000</v>
      </c>
      <c r="C51" s="155">
        <v>0</v>
      </c>
      <c r="D51" s="156">
        <f t="shared" si="14"/>
        <v>10000</v>
      </c>
      <c r="E51" s="155">
        <v>0</v>
      </c>
      <c r="F51" s="155">
        <v>0</v>
      </c>
      <c r="G51" s="80">
        <f t="shared" si="15"/>
        <v>10000</v>
      </c>
    </row>
    <row r="52" spans="1:7" x14ac:dyDescent="0.25">
      <c r="A52" s="84" t="s">
        <v>328</v>
      </c>
      <c r="B52" s="156"/>
      <c r="C52" s="156"/>
      <c r="D52" s="156">
        <f t="shared" si="14"/>
        <v>0</v>
      </c>
      <c r="E52" s="156"/>
      <c r="F52" s="156"/>
      <c r="G52" s="80">
        <f t="shared" si="15"/>
        <v>0</v>
      </c>
    </row>
    <row r="53" spans="1:7" x14ac:dyDescent="0.25">
      <c r="A53" s="84" t="s">
        <v>329</v>
      </c>
      <c r="B53" s="156"/>
      <c r="C53" s="156"/>
      <c r="D53" s="156">
        <f t="shared" si="14"/>
        <v>0</v>
      </c>
      <c r="E53" s="156"/>
      <c r="F53" s="156"/>
      <c r="G53" s="80">
        <f t="shared" si="15"/>
        <v>0</v>
      </c>
    </row>
    <row r="54" spans="1:7" x14ac:dyDescent="0.25">
      <c r="A54" s="84" t="s">
        <v>330</v>
      </c>
      <c r="B54" s="155">
        <v>101000</v>
      </c>
      <c r="C54" s="155">
        <v>-26661.02</v>
      </c>
      <c r="D54" s="156">
        <f t="shared" si="14"/>
        <v>74338.98</v>
      </c>
      <c r="E54" s="155">
        <v>0</v>
      </c>
      <c r="F54" s="155">
        <v>0</v>
      </c>
      <c r="G54" s="80">
        <f t="shared" si="15"/>
        <v>74338.98</v>
      </c>
    </row>
    <row r="55" spans="1:7" x14ac:dyDescent="0.25">
      <c r="A55" s="84" t="s">
        <v>331</v>
      </c>
      <c r="B55" s="156"/>
      <c r="C55" s="156"/>
      <c r="D55" s="156">
        <f t="shared" si="14"/>
        <v>0</v>
      </c>
      <c r="E55" s="156"/>
      <c r="F55" s="156"/>
      <c r="G55" s="80">
        <f t="shared" si="15"/>
        <v>0</v>
      </c>
    </row>
    <row r="56" spans="1:7" x14ac:dyDescent="0.25">
      <c r="A56" s="84" t="s">
        <v>332</v>
      </c>
      <c r="B56" s="156"/>
      <c r="C56" s="156"/>
      <c r="D56" s="156">
        <f t="shared" si="14"/>
        <v>0</v>
      </c>
      <c r="E56" s="156"/>
      <c r="F56" s="156"/>
      <c r="G56" s="80">
        <f t="shared" si="15"/>
        <v>0</v>
      </c>
    </row>
    <row r="57" spans="1:7" x14ac:dyDescent="0.25">
      <c r="A57" s="84" t="s">
        <v>333</v>
      </c>
      <c r="B57" s="155">
        <v>7000</v>
      </c>
      <c r="C57" s="155">
        <v>0</v>
      </c>
      <c r="D57" s="156">
        <f t="shared" si="14"/>
        <v>7000</v>
      </c>
      <c r="E57" s="155">
        <v>0</v>
      </c>
      <c r="F57" s="155">
        <v>0</v>
      </c>
      <c r="G57" s="80">
        <f t="shared" si="15"/>
        <v>7000</v>
      </c>
    </row>
    <row r="58" spans="1:7" x14ac:dyDescent="0.25">
      <c r="A58" s="83" t="s">
        <v>334</v>
      </c>
      <c r="B58" s="80">
        <f>SUM(B59:B61)</f>
        <v>250000</v>
      </c>
      <c r="C58" s="80">
        <f t="shared" ref="C58:G58" si="16">SUM(C59:C61)</f>
        <v>2630326.2799999998</v>
      </c>
      <c r="D58" s="80">
        <f t="shared" si="16"/>
        <v>2880326.28</v>
      </c>
      <c r="E58" s="80">
        <f t="shared" si="16"/>
        <v>1935761.9</v>
      </c>
      <c r="F58" s="80">
        <f t="shared" si="16"/>
        <v>1935761.9</v>
      </c>
      <c r="G58" s="80">
        <f t="shared" si="16"/>
        <v>944564.37999999989</v>
      </c>
    </row>
    <row r="59" spans="1:7" x14ac:dyDescent="0.25">
      <c r="A59" s="84" t="s">
        <v>335</v>
      </c>
      <c r="B59" s="155">
        <v>0</v>
      </c>
      <c r="C59" s="155">
        <v>2500495.65</v>
      </c>
      <c r="D59" s="156">
        <f t="shared" ref="D59:D61" si="17">B59+C59</f>
        <v>2500495.65</v>
      </c>
      <c r="E59" s="155">
        <v>1692831.27</v>
      </c>
      <c r="F59" s="155">
        <v>1692831.27</v>
      </c>
      <c r="G59" s="80">
        <f>D59-E59</f>
        <v>807664.37999999989</v>
      </c>
    </row>
    <row r="60" spans="1:7" x14ac:dyDescent="0.25">
      <c r="A60" s="84" t="s">
        <v>336</v>
      </c>
      <c r="B60" s="156"/>
      <c r="C60" s="156"/>
      <c r="D60" s="156">
        <f t="shared" si="17"/>
        <v>0</v>
      </c>
      <c r="E60" s="156"/>
      <c r="F60" s="156"/>
      <c r="G60" s="80">
        <f t="shared" ref="G60:G61" si="18">D60-E60</f>
        <v>0</v>
      </c>
    </row>
    <row r="61" spans="1:7" x14ac:dyDescent="0.25">
      <c r="A61" s="84" t="s">
        <v>337</v>
      </c>
      <c r="B61" s="155">
        <v>250000</v>
      </c>
      <c r="C61" s="155">
        <v>129830.63</v>
      </c>
      <c r="D61" s="156">
        <f t="shared" si="17"/>
        <v>379830.63</v>
      </c>
      <c r="E61" s="155">
        <v>242930.63</v>
      </c>
      <c r="F61" s="155">
        <v>242930.63</v>
      </c>
      <c r="G61" s="80">
        <f t="shared" si="18"/>
        <v>136900</v>
      </c>
    </row>
    <row r="62" spans="1:7" x14ac:dyDescent="0.25">
      <c r="A62" s="83" t="s">
        <v>338</v>
      </c>
      <c r="B62" s="80">
        <f>SUM(B63:B67,B69:B70)</f>
        <v>1650953.72</v>
      </c>
      <c r="C62" s="80">
        <f t="shared" ref="C62:G62" si="19">SUM(C63:C67,C69:C70)</f>
        <v>2705787.34</v>
      </c>
      <c r="D62" s="80">
        <f t="shared" si="19"/>
        <v>4356741.0599999996</v>
      </c>
      <c r="E62" s="80">
        <f t="shared" si="19"/>
        <v>0</v>
      </c>
      <c r="F62" s="80">
        <f t="shared" si="19"/>
        <v>0</v>
      </c>
      <c r="G62" s="80">
        <f t="shared" si="19"/>
        <v>4356741.0599999996</v>
      </c>
    </row>
    <row r="63" spans="1:7" x14ac:dyDescent="0.25">
      <c r="A63" s="84" t="s">
        <v>339</v>
      </c>
      <c r="B63" s="156"/>
      <c r="C63" s="156"/>
      <c r="D63" s="156">
        <f t="shared" ref="D63:D70" si="20">B63+C63</f>
        <v>0</v>
      </c>
      <c r="E63" s="156"/>
      <c r="F63" s="156"/>
      <c r="G63" s="80">
        <f>D63-E63</f>
        <v>0</v>
      </c>
    </row>
    <row r="64" spans="1:7" x14ac:dyDescent="0.25">
      <c r="A64" s="84" t="s">
        <v>340</v>
      </c>
      <c r="B64" s="156"/>
      <c r="C64" s="156"/>
      <c r="D64" s="156">
        <f t="shared" si="20"/>
        <v>0</v>
      </c>
      <c r="E64" s="156"/>
      <c r="F64" s="156"/>
      <c r="G64" s="80">
        <f t="shared" ref="G64:G70" si="21">D64-E64</f>
        <v>0</v>
      </c>
    </row>
    <row r="65" spans="1:7" x14ac:dyDescent="0.25">
      <c r="A65" s="84" t="s">
        <v>341</v>
      </c>
      <c r="B65" s="156"/>
      <c r="C65" s="156"/>
      <c r="D65" s="156">
        <f t="shared" si="20"/>
        <v>0</v>
      </c>
      <c r="E65" s="156"/>
      <c r="F65" s="156"/>
      <c r="G65" s="80">
        <f t="shared" si="21"/>
        <v>0</v>
      </c>
    </row>
    <row r="66" spans="1:7" x14ac:dyDescent="0.25">
      <c r="A66" s="84" t="s">
        <v>342</v>
      </c>
      <c r="B66" s="156"/>
      <c r="C66" s="156"/>
      <c r="D66" s="156">
        <f t="shared" si="20"/>
        <v>0</v>
      </c>
      <c r="E66" s="156"/>
      <c r="F66" s="156"/>
      <c r="G66" s="80">
        <f t="shared" si="21"/>
        <v>0</v>
      </c>
    </row>
    <row r="67" spans="1:7" x14ac:dyDescent="0.25">
      <c r="A67" s="84" t="s">
        <v>343</v>
      </c>
      <c r="B67" s="156"/>
      <c r="C67" s="156"/>
      <c r="D67" s="156">
        <f t="shared" si="20"/>
        <v>0</v>
      </c>
      <c r="E67" s="156"/>
      <c r="F67" s="156"/>
      <c r="G67" s="80">
        <f t="shared" si="21"/>
        <v>0</v>
      </c>
    </row>
    <row r="68" spans="1:7" x14ac:dyDescent="0.25">
      <c r="A68" s="84" t="s">
        <v>3301</v>
      </c>
      <c r="B68" s="156"/>
      <c r="C68" s="156"/>
      <c r="D68" s="156">
        <f t="shared" si="20"/>
        <v>0</v>
      </c>
      <c r="E68" s="156"/>
      <c r="F68" s="156"/>
      <c r="G68" s="80">
        <f t="shared" si="21"/>
        <v>0</v>
      </c>
    </row>
    <row r="69" spans="1:7" x14ac:dyDescent="0.25">
      <c r="A69" s="84" t="s">
        <v>345</v>
      </c>
      <c r="B69" s="156"/>
      <c r="C69" s="156"/>
      <c r="D69" s="156">
        <f t="shared" si="20"/>
        <v>0</v>
      </c>
      <c r="E69" s="156"/>
      <c r="F69" s="156"/>
      <c r="G69" s="80">
        <f t="shared" si="21"/>
        <v>0</v>
      </c>
    </row>
    <row r="70" spans="1:7" x14ac:dyDescent="0.25">
      <c r="A70" s="84" t="s">
        <v>346</v>
      </c>
      <c r="B70" s="155">
        <v>1650953.72</v>
      </c>
      <c r="C70" s="155">
        <v>2705787.34</v>
      </c>
      <c r="D70" s="156">
        <f t="shared" si="20"/>
        <v>4356741.0599999996</v>
      </c>
      <c r="E70" s="155">
        <v>0</v>
      </c>
      <c r="F70" s="155">
        <v>0</v>
      </c>
      <c r="G70" s="80">
        <f t="shared" si="21"/>
        <v>4356741.0599999996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2">SUM(C72:C74)</f>
        <v>0</v>
      </c>
      <c r="D71" s="80">
        <f t="shared" si="22"/>
        <v>0</v>
      </c>
      <c r="E71" s="80">
        <f t="shared" si="22"/>
        <v>0</v>
      </c>
      <c r="F71" s="80">
        <f t="shared" si="22"/>
        <v>0</v>
      </c>
      <c r="G71" s="80">
        <f t="shared" si="22"/>
        <v>0</v>
      </c>
    </row>
    <row r="72" spans="1:7" x14ac:dyDescent="0.25">
      <c r="A72" s="84" t="s">
        <v>348</v>
      </c>
      <c r="B72" s="156"/>
      <c r="C72" s="156"/>
      <c r="D72" s="156">
        <f t="shared" ref="D72:D74" si="23">B72+C72</f>
        <v>0</v>
      </c>
      <c r="E72" s="156"/>
      <c r="F72" s="156"/>
      <c r="G72" s="80">
        <f>D72-E72</f>
        <v>0</v>
      </c>
    </row>
    <row r="73" spans="1:7" x14ac:dyDescent="0.25">
      <c r="A73" s="84" t="s">
        <v>349</v>
      </c>
      <c r="B73" s="156"/>
      <c r="C73" s="156"/>
      <c r="D73" s="156">
        <f t="shared" si="23"/>
        <v>0</v>
      </c>
      <c r="E73" s="156"/>
      <c r="F73" s="156"/>
      <c r="G73" s="80">
        <f t="shared" ref="G73:G74" si="24">D73-E73</f>
        <v>0</v>
      </c>
    </row>
    <row r="74" spans="1:7" x14ac:dyDescent="0.25">
      <c r="A74" s="84" t="s">
        <v>350</v>
      </c>
      <c r="B74" s="156"/>
      <c r="C74" s="156"/>
      <c r="D74" s="156">
        <f t="shared" si="23"/>
        <v>0</v>
      </c>
      <c r="E74" s="156"/>
      <c r="F74" s="156"/>
      <c r="G74" s="80">
        <f t="shared" si="24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25">SUM(C76:C82)</f>
        <v>0</v>
      </c>
      <c r="D75" s="80">
        <f t="shared" si="25"/>
        <v>0</v>
      </c>
      <c r="E75" s="80">
        <f t="shared" si="25"/>
        <v>0</v>
      </c>
      <c r="F75" s="80">
        <f t="shared" si="25"/>
        <v>0</v>
      </c>
      <c r="G75" s="80">
        <f t="shared" si="25"/>
        <v>0</v>
      </c>
    </row>
    <row r="76" spans="1:7" x14ac:dyDescent="0.25">
      <c r="A76" s="84" t="s">
        <v>352</v>
      </c>
      <c r="B76" s="156"/>
      <c r="C76" s="156"/>
      <c r="D76" s="156">
        <f t="shared" ref="D76:D82" si="26">B76+C76</f>
        <v>0</v>
      </c>
      <c r="E76" s="156"/>
      <c r="F76" s="156"/>
      <c r="G76" s="80">
        <f>D76-E76</f>
        <v>0</v>
      </c>
    </row>
    <row r="77" spans="1:7" x14ac:dyDescent="0.25">
      <c r="A77" s="84" t="s">
        <v>353</v>
      </c>
      <c r="B77" s="156"/>
      <c r="C77" s="156"/>
      <c r="D77" s="156">
        <f t="shared" si="26"/>
        <v>0</v>
      </c>
      <c r="E77" s="156"/>
      <c r="F77" s="156"/>
      <c r="G77" s="80">
        <f t="shared" ref="G77:G82" si="27">D77-E77</f>
        <v>0</v>
      </c>
    </row>
    <row r="78" spans="1:7" x14ac:dyDescent="0.25">
      <c r="A78" s="84" t="s">
        <v>354</v>
      </c>
      <c r="B78" s="156"/>
      <c r="C78" s="156"/>
      <c r="D78" s="156">
        <f t="shared" si="26"/>
        <v>0</v>
      </c>
      <c r="E78" s="156"/>
      <c r="F78" s="156"/>
      <c r="G78" s="80">
        <f t="shared" si="27"/>
        <v>0</v>
      </c>
    </row>
    <row r="79" spans="1:7" x14ac:dyDescent="0.25">
      <c r="A79" s="84" t="s">
        <v>355</v>
      </c>
      <c r="B79" s="156"/>
      <c r="C79" s="156"/>
      <c r="D79" s="156">
        <f t="shared" si="26"/>
        <v>0</v>
      </c>
      <c r="E79" s="156"/>
      <c r="F79" s="156"/>
      <c r="G79" s="80">
        <f t="shared" si="27"/>
        <v>0</v>
      </c>
    </row>
    <row r="80" spans="1:7" x14ac:dyDescent="0.25">
      <c r="A80" s="84" t="s">
        <v>356</v>
      </c>
      <c r="B80" s="156"/>
      <c r="C80" s="156"/>
      <c r="D80" s="156">
        <f t="shared" si="26"/>
        <v>0</v>
      </c>
      <c r="E80" s="156"/>
      <c r="F80" s="156"/>
      <c r="G80" s="80">
        <f t="shared" si="27"/>
        <v>0</v>
      </c>
    </row>
    <row r="81" spans="1:7" x14ac:dyDescent="0.25">
      <c r="A81" s="84" t="s">
        <v>357</v>
      </c>
      <c r="B81" s="156"/>
      <c r="C81" s="156"/>
      <c r="D81" s="156">
        <f t="shared" si="26"/>
        <v>0</v>
      </c>
      <c r="E81" s="156"/>
      <c r="F81" s="156"/>
      <c r="G81" s="80">
        <f t="shared" si="27"/>
        <v>0</v>
      </c>
    </row>
    <row r="82" spans="1:7" x14ac:dyDescent="0.25">
      <c r="A82" s="84" t="s">
        <v>358</v>
      </c>
      <c r="B82" s="156"/>
      <c r="C82" s="156"/>
      <c r="D82" s="156">
        <f t="shared" si="26"/>
        <v>0</v>
      </c>
      <c r="E82" s="156"/>
      <c r="F82" s="156"/>
      <c r="G82" s="80">
        <f t="shared" si="27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39000000</v>
      </c>
      <c r="C84" s="79">
        <f t="shared" ref="C84:G84" si="28">SUM(C85,C93,C103,C113,C123,C133,C137,C146,C150)</f>
        <v>26059824.479999997</v>
      </c>
      <c r="D84" s="79">
        <f t="shared" si="28"/>
        <v>65059824.479999997</v>
      </c>
      <c r="E84" s="79">
        <f t="shared" si="28"/>
        <v>11118700.879999999</v>
      </c>
      <c r="F84" s="79">
        <f t="shared" si="28"/>
        <v>11118700.879999999</v>
      </c>
      <c r="G84" s="79">
        <f t="shared" si="28"/>
        <v>53941123.600000001</v>
      </c>
    </row>
    <row r="85" spans="1:7" x14ac:dyDescent="0.25">
      <c r="A85" s="83" t="s">
        <v>286</v>
      </c>
      <c r="B85" s="80">
        <f>SUM(B86:B92)</f>
        <v>7086142.8600000003</v>
      </c>
      <c r="C85" s="80">
        <f t="shared" ref="C85:G85" si="29">SUM(C86:C92)</f>
        <v>-12303.409999999996</v>
      </c>
      <c r="D85" s="80">
        <f t="shared" si="29"/>
        <v>7073839.4500000002</v>
      </c>
      <c r="E85" s="80">
        <f t="shared" si="29"/>
        <v>2665238.4300000002</v>
      </c>
      <c r="F85" s="80">
        <f t="shared" si="29"/>
        <v>2665238.4300000002</v>
      </c>
      <c r="G85" s="80">
        <f t="shared" si="29"/>
        <v>4408601.0200000005</v>
      </c>
    </row>
    <row r="86" spans="1:7" x14ac:dyDescent="0.25">
      <c r="A86" s="84" t="s">
        <v>287</v>
      </c>
      <c r="B86" s="155">
        <v>6159834.9000000004</v>
      </c>
      <c r="C86" s="155">
        <v>0</v>
      </c>
      <c r="D86" s="156">
        <f t="shared" ref="D86:D92" si="30">B86+C86</f>
        <v>6159834.9000000004</v>
      </c>
      <c r="E86" s="155">
        <v>2584246.02</v>
      </c>
      <c r="F86" s="155">
        <v>2584246.02</v>
      </c>
      <c r="G86" s="80">
        <f>D86-E86</f>
        <v>3575588.8800000004</v>
      </c>
    </row>
    <row r="87" spans="1:7" x14ac:dyDescent="0.25">
      <c r="A87" s="84" t="s">
        <v>288</v>
      </c>
      <c r="B87" s="155">
        <v>0</v>
      </c>
      <c r="C87" s="155">
        <v>29329.59</v>
      </c>
      <c r="D87" s="156">
        <f t="shared" si="30"/>
        <v>29329.59</v>
      </c>
      <c r="E87" s="155">
        <v>22960</v>
      </c>
      <c r="F87" s="155">
        <v>22960</v>
      </c>
      <c r="G87" s="80">
        <f t="shared" ref="G87:G92" si="31">D87-E87</f>
        <v>6369.59</v>
      </c>
    </row>
    <row r="88" spans="1:7" x14ac:dyDescent="0.25">
      <c r="A88" s="84" t="s">
        <v>289</v>
      </c>
      <c r="B88" s="155">
        <v>826307.96</v>
      </c>
      <c r="C88" s="155">
        <v>1720.92</v>
      </c>
      <c r="D88" s="156">
        <f t="shared" si="30"/>
        <v>828028.88</v>
      </c>
      <c r="E88" s="155">
        <v>52906.71</v>
      </c>
      <c r="F88" s="155">
        <v>52906.71</v>
      </c>
      <c r="G88" s="80">
        <f t="shared" si="31"/>
        <v>775122.17</v>
      </c>
    </row>
    <row r="89" spans="1:7" x14ac:dyDescent="0.25">
      <c r="A89" s="84" t="s">
        <v>290</v>
      </c>
      <c r="B89" s="156"/>
      <c r="C89" s="156"/>
      <c r="D89" s="156">
        <f t="shared" si="30"/>
        <v>0</v>
      </c>
      <c r="E89" s="156"/>
      <c r="F89" s="156"/>
      <c r="G89" s="80">
        <f t="shared" si="31"/>
        <v>0</v>
      </c>
    </row>
    <row r="90" spans="1:7" x14ac:dyDescent="0.25">
      <c r="A90" s="84" t="s">
        <v>291</v>
      </c>
      <c r="B90" s="155">
        <v>0</v>
      </c>
      <c r="C90" s="155">
        <v>3404.78</v>
      </c>
      <c r="D90" s="156">
        <f t="shared" si="30"/>
        <v>3404.78</v>
      </c>
      <c r="E90" s="155">
        <v>5125.7</v>
      </c>
      <c r="F90" s="155">
        <v>5125.7</v>
      </c>
      <c r="G90" s="80">
        <f t="shared" si="31"/>
        <v>-1720.9199999999996</v>
      </c>
    </row>
    <row r="91" spans="1:7" x14ac:dyDescent="0.25">
      <c r="A91" s="84" t="s">
        <v>292</v>
      </c>
      <c r="B91" s="155">
        <v>100000</v>
      </c>
      <c r="C91" s="155">
        <v>-46758.7</v>
      </c>
      <c r="D91" s="156">
        <f t="shared" si="30"/>
        <v>53241.3</v>
      </c>
      <c r="E91" s="155">
        <v>0</v>
      </c>
      <c r="F91" s="155">
        <v>0</v>
      </c>
      <c r="G91" s="80">
        <f t="shared" si="31"/>
        <v>53241.3</v>
      </c>
    </row>
    <row r="92" spans="1:7" x14ac:dyDescent="0.25">
      <c r="A92" s="84" t="s">
        <v>293</v>
      </c>
      <c r="B92" s="156"/>
      <c r="C92" s="156"/>
      <c r="D92" s="156">
        <f t="shared" si="30"/>
        <v>0</v>
      </c>
      <c r="E92" s="156"/>
      <c r="F92" s="156"/>
      <c r="G92" s="80">
        <f t="shared" si="31"/>
        <v>0</v>
      </c>
    </row>
    <row r="93" spans="1:7" x14ac:dyDescent="0.25">
      <c r="A93" s="83" t="s">
        <v>294</v>
      </c>
      <c r="B93" s="80">
        <f>SUM(B94:B102)</f>
        <v>1360000</v>
      </c>
      <c r="C93" s="80">
        <f t="shared" ref="C93:G93" si="32">SUM(C94:C102)</f>
        <v>0</v>
      </c>
      <c r="D93" s="80">
        <f t="shared" si="32"/>
        <v>1360000</v>
      </c>
      <c r="E93" s="80">
        <f t="shared" si="32"/>
        <v>539547.62</v>
      </c>
      <c r="F93" s="80">
        <f t="shared" si="32"/>
        <v>539547.62</v>
      </c>
      <c r="G93" s="80">
        <f t="shared" si="32"/>
        <v>820452.38</v>
      </c>
    </row>
    <row r="94" spans="1:7" x14ac:dyDescent="0.25">
      <c r="A94" s="84" t="s">
        <v>295</v>
      </c>
      <c r="B94" s="156"/>
      <c r="C94" s="156"/>
      <c r="D94" s="156">
        <f t="shared" ref="D94:D102" si="33">B94+C94</f>
        <v>0</v>
      </c>
      <c r="E94" s="156"/>
      <c r="F94" s="156"/>
      <c r="G94" s="80">
        <f>D94-E94</f>
        <v>0</v>
      </c>
    </row>
    <row r="95" spans="1:7" x14ac:dyDescent="0.25">
      <c r="A95" s="84" t="s">
        <v>296</v>
      </c>
      <c r="B95" s="156"/>
      <c r="C95" s="156"/>
      <c r="D95" s="156">
        <f t="shared" si="33"/>
        <v>0</v>
      </c>
      <c r="E95" s="156"/>
      <c r="F95" s="156"/>
      <c r="G95" s="80">
        <f t="shared" ref="G95:G102" si="34">D95-E95</f>
        <v>0</v>
      </c>
    </row>
    <row r="96" spans="1:7" x14ac:dyDescent="0.25">
      <c r="A96" s="84" t="s">
        <v>297</v>
      </c>
      <c r="B96" s="156"/>
      <c r="C96" s="156"/>
      <c r="D96" s="156">
        <f t="shared" si="33"/>
        <v>0</v>
      </c>
      <c r="E96" s="156"/>
      <c r="F96" s="156"/>
      <c r="G96" s="80">
        <f t="shared" si="34"/>
        <v>0</v>
      </c>
    </row>
    <row r="97" spans="1:7" x14ac:dyDescent="0.25">
      <c r="A97" s="84" t="s">
        <v>298</v>
      </c>
      <c r="B97" s="155">
        <v>200000</v>
      </c>
      <c r="C97" s="155">
        <v>0</v>
      </c>
      <c r="D97" s="156">
        <f t="shared" si="33"/>
        <v>200000</v>
      </c>
      <c r="E97" s="155">
        <v>10543.01</v>
      </c>
      <c r="F97" s="155">
        <v>10543.01</v>
      </c>
      <c r="G97" s="80">
        <f t="shared" si="34"/>
        <v>189456.99</v>
      </c>
    </row>
    <row r="98" spans="1:7" x14ac:dyDescent="0.25">
      <c r="A98" s="42" t="s">
        <v>299</v>
      </c>
      <c r="B98" s="156"/>
      <c r="C98" s="156"/>
      <c r="D98" s="156">
        <f t="shared" si="33"/>
        <v>0</v>
      </c>
      <c r="E98" s="156"/>
      <c r="F98" s="156"/>
      <c r="G98" s="80">
        <f t="shared" si="34"/>
        <v>0</v>
      </c>
    </row>
    <row r="99" spans="1:7" x14ac:dyDescent="0.25">
      <c r="A99" s="84" t="s">
        <v>300</v>
      </c>
      <c r="B99" s="155">
        <v>1160000</v>
      </c>
      <c r="C99" s="155">
        <v>0</v>
      </c>
      <c r="D99" s="156">
        <f t="shared" si="33"/>
        <v>1160000</v>
      </c>
      <c r="E99" s="155">
        <v>529004.61</v>
      </c>
      <c r="F99" s="155">
        <v>529004.61</v>
      </c>
      <c r="G99" s="80">
        <f t="shared" si="34"/>
        <v>630995.39</v>
      </c>
    </row>
    <row r="100" spans="1:7" x14ac:dyDescent="0.25">
      <c r="A100" s="84" t="s">
        <v>301</v>
      </c>
      <c r="B100" s="156"/>
      <c r="C100" s="156"/>
      <c r="D100" s="156">
        <f t="shared" si="33"/>
        <v>0</v>
      </c>
      <c r="E100" s="156"/>
      <c r="F100" s="156"/>
      <c r="G100" s="80">
        <f t="shared" si="34"/>
        <v>0</v>
      </c>
    </row>
    <row r="101" spans="1:7" x14ac:dyDescent="0.25">
      <c r="A101" s="84" t="s">
        <v>302</v>
      </c>
      <c r="B101" s="156"/>
      <c r="C101" s="156"/>
      <c r="D101" s="156">
        <f t="shared" si="33"/>
        <v>0</v>
      </c>
      <c r="E101" s="156"/>
      <c r="F101" s="156"/>
      <c r="G101" s="80">
        <f t="shared" si="34"/>
        <v>0</v>
      </c>
    </row>
    <row r="102" spans="1:7" x14ac:dyDescent="0.25">
      <c r="A102" s="84" t="s">
        <v>303</v>
      </c>
      <c r="B102" s="156"/>
      <c r="C102" s="156"/>
      <c r="D102" s="156">
        <f t="shared" si="33"/>
        <v>0</v>
      </c>
      <c r="E102" s="156"/>
      <c r="F102" s="156"/>
      <c r="G102" s="80">
        <f t="shared" si="34"/>
        <v>0</v>
      </c>
    </row>
    <row r="103" spans="1:7" x14ac:dyDescent="0.25">
      <c r="A103" s="83" t="s">
        <v>304</v>
      </c>
      <c r="B103" s="80">
        <f>SUM(B104:B112)</f>
        <v>570000</v>
      </c>
      <c r="C103" s="80">
        <f>SUM(C104:C112)</f>
        <v>0</v>
      </c>
      <c r="D103" s="80">
        <f t="shared" ref="D103:G103" si="35">SUM(D104:D112)</f>
        <v>570000</v>
      </c>
      <c r="E103" s="80">
        <f t="shared" si="35"/>
        <v>14488.4</v>
      </c>
      <c r="F103" s="80">
        <f t="shared" si="35"/>
        <v>14488.4</v>
      </c>
      <c r="G103" s="80">
        <f t="shared" si="35"/>
        <v>555511.6</v>
      </c>
    </row>
    <row r="104" spans="1:7" x14ac:dyDescent="0.25">
      <c r="A104" s="84" t="s">
        <v>305</v>
      </c>
      <c r="B104" s="156"/>
      <c r="C104" s="156"/>
      <c r="D104" s="156">
        <f t="shared" ref="D104:D112" si="36">B104+C104</f>
        <v>0</v>
      </c>
      <c r="E104" s="156"/>
      <c r="F104" s="156"/>
      <c r="G104" s="80">
        <f>D104-E104</f>
        <v>0</v>
      </c>
    </row>
    <row r="105" spans="1:7" x14ac:dyDescent="0.25">
      <c r="A105" s="84" t="s">
        <v>306</v>
      </c>
      <c r="B105" s="156"/>
      <c r="C105" s="156"/>
      <c r="D105" s="156">
        <f t="shared" si="36"/>
        <v>0</v>
      </c>
      <c r="E105" s="156"/>
      <c r="F105" s="156"/>
      <c r="G105" s="80">
        <f t="shared" ref="G105:G112" si="37">D105-E105</f>
        <v>0</v>
      </c>
    </row>
    <row r="106" spans="1:7" x14ac:dyDescent="0.25">
      <c r="A106" s="84" t="s">
        <v>307</v>
      </c>
      <c r="B106" s="156"/>
      <c r="C106" s="156"/>
      <c r="D106" s="156">
        <f t="shared" si="36"/>
        <v>0</v>
      </c>
      <c r="E106" s="156"/>
      <c r="F106" s="156"/>
      <c r="G106" s="80">
        <f t="shared" si="37"/>
        <v>0</v>
      </c>
    </row>
    <row r="107" spans="1:7" x14ac:dyDescent="0.25">
      <c r="A107" s="84" t="s">
        <v>308</v>
      </c>
      <c r="B107" s="156"/>
      <c r="C107" s="156"/>
      <c r="D107" s="156">
        <f t="shared" si="36"/>
        <v>0</v>
      </c>
      <c r="E107" s="156"/>
      <c r="F107" s="156"/>
      <c r="G107" s="80">
        <f t="shared" si="37"/>
        <v>0</v>
      </c>
    </row>
    <row r="108" spans="1:7" x14ac:dyDescent="0.25">
      <c r="A108" s="84" t="s">
        <v>309</v>
      </c>
      <c r="B108" s="155">
        <v>570000</v>
      </c>
      <c r="C108" s="155">
        <v>0</v>
      </c>
      <c r="D108" s="156">
        <f t="shared" si="36"/>
        <v>570000</v>
      </c>
      <c r="E108" s="155">
        <v>14488.4</v>
      </c>
      <c r="F108" s="155">
        <v>14488.4</v>
      </c>
      <c r="G108" s="80">
        <f t="shared" si="37"/>
        <v>555511.6</v>
      </c>
    </row>
    <row r="109" spans="1:7" x14ac:dyDescent="0.25">
      <c r="A109" s="84" t="s">
        <v>310</v>
      </c>
      <c r="B109" s="156"/>
      <c r="C109" s="156"/>
      <c r="D109" s="156">
        <f t="shared" si="36"/>
        <v>0</v>
      </c>
      <c r="E109" s="156"/>
      <c r="F109" s="156"/>
      <c r="G109" s="80">
        <f t="shared" si="37"/>
        <v>0</v>
      </c>
    </row>
    <row r="110" spans="1:7" x14ac:dyDescent="0.25">
      <c r="A110" s="84" t="s">
        <v>311</v>
      </c>
      <c r="B110" s="156"/>
      <c r="C110" s="156"/>
      <c r="D110" s="156">
        <f t="shared" si="36"/>
        <v>0</v>
      </c>
      <c r="E110" s="156"/>
      <c r="F110" s="156"/>
      <c r="G110" s="80">
        <f t="shared" si="37"/>
        <v>0</v>
      </c>
    </row>
    <row r="111" spans="1:7" x14ac:dyDescent="0.25">
      <c r="A111" s="84" t="s">
        <v>312</v>
      </c>
      <c r="B111" s="156"/>
      <c r="C111" s="156"/>
      <c r="D111" s="156">
        <f t="shared" si="36"/>
        <v>0</v>
      </c>
      <c r="E111" s="156"/>
      <c r="F111" s="156"/>
      <c r="G111" s="80">
        <f t="shared" si="37"/>
        <v>0</v>
      </c>
    </row>
    <row r="112" spans="1:7" x14ac:dyDescent="0.25">
      <c r="A112" s="84" t="s">
        <v>313</v>
      </c>
      <c r="B112" s="156"/>
      <c r="C112" s="156"/>
      <c r="D112" s="156">
        <f t="shared" si="36"/>
        <v>0</v>
      </c>
      <c r="E112" s="156"/>
      <c r="F112" s="156"/>
      <c r="G112" s="80">
        <f t="shared" si="37"/>
        <v>0</v>
      </c>
    </row>
    <row r="113" spans="1:7" x14ac:dyDescent="0.25">
      <c r="A113" s="83" t="s">
        <v>314</v>
      </c>
      <c r="B113" s="80">
        <f>SUM(B114:B122)</f>
        <v>4000000</v>
      </c>
      <c r="C113" s="80">
        <f t="shared" ref="C113:G113" si="38">SUM(C114:C122)</f>
        <v>11099393.210000001</v>
      </c>
      <c r="D113" s="80">
        <f t="shared" si="38"/>
        <v>15099393.210000001</v>
      </c>
      <c r="E113" s="80">
        <f t="shared" si="38"/>
        <v>3590807.55</v>
      </c>
      <c r="F113" s="80">
        <f t="shared" si="38"/>
        <v>3590807.55</v>
      </c>
      <c r="G113" s="80">
        <f t="shared" si="38"/>
        <v>11508585.66</v>
      </c>
    </row>
    <row r="114" spans="1:7" x14ac:dyDescent="0.25">
      <c r="A114" s="84" t="s">
        <v>315</v>
      </c>
      <c r="B114" s="156"/>
      <c r="C114" s="156"/>
      <c r="D114" s="156">
        <f t="shared" ref="D114:D122" si="39">B114+C114</f>
        <v>0</v>
      </c>
      <c r="E114" s="156"/>
      <c r="F114" s="156"/>
      <c r="G114" s="80">
        <f>D114-E114</f>
        <v>0</v>
      </c>
    </row>
    <row r="115" spans="1:7" x14ac:dyDescent="0.25">
      <c r="A115" s="84" t="s">
        <v>316</v>
      </c>
      <c r="B115" s="156"/>
      <c r="C115" s="156"/>
      <c r="D115" s="156">
        <f t="shared" si="39"/>
        <v>0</v>
      </c>
      <c r="E115" s="156"/>
      <c r="F115" s="156"/>
      <c r="G115" s="80">
        <f t="shared" ref="G115:G122" si="40">D115-E115</f>
        <v>0</v>
      </c>
    </row>
    <row r="116" spans="1:7" x14ac:dyDescent="0.25">
      <c r="A116" s="84" t="s">
        <v>317</v>
      </c>
      <c r="B116" s="155">
        <v>4000000</v>
      </c>
      <c r="C116" s="155">
        <v>0</v>
      </c>
      <c r="D116" s="156">
        <f t="shared" si="39"/>
        <v>4000000</v>
      </c>
      <c r="E116" s="155">
        <v>1864620.95</v>
      </c>
      <c r="F116" s="155">
        <v>1864620.95</v>
      </c>
      <c r="G116" s="80">
        <f t="shared" si="40"/>
        <v>2135379.0499999998</v>
      </c>
    </row>
    <row r="117" spans="1:7" x14ac:dyDescent="0.25">
      <c r="A117" s="84" t="s">
        <v>318</v>
      </c>
      <c r="B117" s="155">
        <v>0</v>
      </c>
      <c r="C117" s="155">
        <v>11099393.210000001</v>
      </c>
      <c r="D117" s="156">
        <f t="shared" si="39"/>
        <v>11099393.210000001</v>
      </c>
      <c r="E117" s="155">
        <v>1726186.6</v>
      </c>
      <c r="F117" s="155">
        <v>1726186.6</v>
      </c>
      <c r="G117" s="80">
        <f t="shared" si="40"/>
        <v>9373206.6100000013</v>
      </c>
    </row>
    <row r="118" spans="1:7" x14ac:dyDescent="0.25">
      <c r="A118" s="84" t="s">
        <v>319</v>
      </c>
      <c r="B118" s="156"/>
      <c r="C118" s="156"/>
      <c r="D118" s="156">
        <f t="shared" si="39"/>
        <v>0</v>
      </c>
      <c r="E118" s="156"/>
      <c r="F118" s="156"/>
      <c r="G118" s="80">
        <f t="shared" si="40"/>
        <v>0</v>
      </c>
    </row>
    <row r="119" spans="1:7" x14ac:dyDescent="0.25">
      <c r="A119" s="84" t="s">
        <v>320</v>
      </c>
      <c r="B119" s="156"/>
      <c r="C119" s="156"/>
      <c r="D119" s="156">
        <f t="shared" si="39"/>
        <v>0</v>
      </c>
      <c r="E119" s="156"/>
      <c r="F119" s="156"/>
      <c r="G119" s="80">
        <f t="shared" si="40"/>
        <v>0</v>
      </c>
    </row>
    <row r="120" spans="1:7" x14ac:dyDescent="0.25">
      <c r="A120" s="84" t="s">
        <v>321</v>
      </c>
      <c r="B120" s="156"/>
      <c r="C120" s="156"/>
      <c r="D120" s="156">
        <f t="shared" si="39"/>
        <v>0</v>
      </c>
      <c r="E120" s="156"/>
      <c r="F120" s="156"/>
      <c r="G120" s="80">
        <f t="shared" si="40"/>
        <v>0</v>
      </c>
    </row>
    <row r="121" spans="1:7" x14ac:dyDescent="0.25">
      <c r="A121" s="84" t="s">
        <v>322</v>
      </c>
      <c r="B121" s="156"/>
      <c r="C121" s="156"/>
      <c r="D121" s="156">
        <f t="shared" si="39"/>
        <v>0</v>
      </c>
      <c r="E121" s="156"/>
      <c r="F121" s="156"/>
      <c r="G121" s="80">
        <f t="shared" si="40"/>
        <v>0</v>
      </c>
    </row>
    <row r="122" spans="1:7" x14ac:dyDescent="0.25">
      <c r="A122" s="84" t="s">
        <v>323</v>
      </c>
      <c r="B122" s="156"/>
      <c r="C122" s="156"/>
      <c r="D122" s="156">
        <f t="shared" si="39"/>
        <v>0</v>
      </c>
      <c r="E122" s="156"/>
      <c r="F122" s="156"/>
      <c r="G122" s="80">
        <f t="shared" si="40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41">SUM(C124:C132)</f>
        <v>0</v>
      </c>
      <c r="D123" s="80">
        <f t="shared" si="41"/>
        <v>0</v>
      </c>
      <c r="E123" s="80">
        <f t="shared" si="41"/>
        <v>0</v>
      </c>
      <c r="F123" s="80">
        <f t="shared" si="41"/>
        <v>0</v>
      </c>
      <c r="G123" s="80">
        <f t="shared" si="41"/>
        <v>0</v>
      </c>
    </row>
    <row r="124" spans="1:7" x14ac:dyDescent="0.25">
      <c r="A124" s="84" t="s">
        <v>325</v>
      </c>
      <c r="B124" s="156"/>
      <c r="C124" s="156"/>
      <c r="D124" s="156">
        <f t="shared" ref="D124:D132" si="42">B124+C124</f>
        <v>0</v>
      </c>
      <c r="E124" s="156"/>
      <c r="F124" s="156"/>
      <c r="G124" s="80">
        <f>D124-E124</f>
        <v>0</v>
      </c>
    </row>
    <row r="125" spans="1:7" x14ac:dyDescent="0.25">
      <c r="A125" s="84" t="s">
        <v>326</v>
      </c>
      <c r="B125" s="156"/>
      <c r="C125" s="156"/>
      <c r="D125" s="156">
        <f t="shared" si="42"/>
        <v>0</v>
      </c>
      <c r="E125" s="156"/>
      <c r="F125" s="156"/>
      <c r="G125" s="80">
        <f t="shared" ref="G125:G132" si="43">D125-E125</f>
        <v>0</v>
      </c>
    </row>
    <row r="126" spans="1:7" x14ac:dyDescent="0.25">
      <c r="A126" s="84" t="s">
        <v>327</v>
      </c>
      <c r="B126" s="156"/>
      <c r="C126" s="156"/>
      <c r="D126" s="156">
        <f t="shared" si="42"/>
        <v>0</v>
      </c>
      <c r="E126" s="156"/>
      <c r="F126" s="156"/>
      <c r="G126" s="80">
        <f t="shared" si="43"/>
        <v>0</v>
      </c>
    </row>
    <row r="127" spans="1:7" x14ac:dyDescent="0.25">
      <c r="A127" s="84" t="s">
        <v>328</v>
      </c>
      <c r="B127" s="156"/>
      <c r="C127" s="156"/>
      <c r="D127" s="156">
        <f t="shared" si="42"/>
        <v>0</v>
      </c>
      <c r="E127" s="156"/>
      <c r="F127" s="156"/>
      <c r="G127" s="80">
        <f t="shared" si="43"/>
        <v>0</v>
      </c>
    </row>
    <row r="128" spans="1:7" x14ac:dyDescent="0.25">
      <c r="A128" s="84" t="s">
        <v>329</v>
      </c>
      <c r="B128" s="156"/>
      <c r="C128" s="156"/>
      <c r="D128" s="156">
        <f t="shared" si="42"/>
        <v>0</v>
      </c>
      <c r="E128" s="156"/>
      <c r="F128" s="156"/>
      <c r="G128" s="80">
        <f t="shared" si="43"/>
        <v>0</v>
      </c>
    </row>
    <row r="129" spans="1:7" x14ac:dyDescent="0.25">
      <c r="A129" s="84" t="s">
        <v>330</v>
      </c>
      <c r="B129" s="156"/>
      <c r="C129" s="156"/>
      <c r="D129" s="156">
        <f t="shared" si="42"/>
        <v>0</v>
      </c>
      <c r="E129" s="156"/>
      <c r="F129" s="156"/>
      <c r="G129" s="80">
        <f t="shared" si="43"/>
        <v>0</v>
      </c>
    </row>
    <row r="130" spans="1:7" x14ac:dyDescent="0.25">
      <c r="A130" s="84" t="s">
        <v>331</v>
      </c>
      <c r="B130" s="156"/>
      <c r="C130" s="156"/>
      <c r="D130" s="156">
        <f t="shared" si="42"/>
        <v>0</v>
      </c>
      <c r="E130" s="156"/>
      <c r="F130" s="156"/>
      <c r="G130" s="80">
        <f t="shared" si="43"/>
        <v>0</v>
      </c>
    </row>
    <row r="131" spans="1:7" x14ac:dyDescent="0.25">
      <c r="A131" s="84" t="s">
        <v>332</v>
      </c>
      <c r="B131" s="156"/>
      <c r="C131" s="156"/>
      <c r="D131" s="156">
        <f t="shared" si="42"/>
        <v>0</v>
      </c>
      <c r="E131" s="156"/>
      <c r="F131" s="156"/>
      <c r="G131" s="80">
        <f t="shared" si="43"/>
        <v>0</v>
      </c>
    </row>
    <row r="132" spans="1:7" x14ac:dyDescent="0.25">
      <c r="A132" s="84" t="s">
        <v>333</v>
      </c>
      <c r="B132" s="156"/>
      <c r="C132" s="156"/>
      <c r="D132" s="156">
        <f t="shared" si="42"/>
        <v>0</v>
      </c>
      <c r="E132" s="156"/>
      <c r="F132" s="156"/>
      <c r="G132" s="80">
        <f t="shared" si="43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44">SUM(C134:C136)</f>
        <v>25147212.420000002</v>
      </c>
      <c r="D133" s="80">
        <f t="shared" si="44"/>
        <v>25147212.420000002</v>
      </c>
      <c r="E133" s="80">
        <f t="shared" si="44"/>
        <v>4308618.88</v>
      </c>
      <c r="F133" s="80">
        <f t="shared" si="44"/>
        <v>4308618.88</v>
      </c>
      <c r="G133" s="80">
        <f t="shared" si="44"/>
        <v>20838593.540000003</v>
      </c>
    </row>
    <row r="134" spans="1:7" x14ac:dyDescent="0.25">
      <c r="A134" s="84" t="s">
        <v>335</v>
      </c>
      <c r="B134" s="155">
        <v>0</v>
      </c>
      <c r="C134" s="155">
        <v>25147212.420000002</v>
      </c>
      <c r="D134" s="156">
        <f t="shared" ref="D134:D136" si="45">B134+C134</f>
        <v>25147212.420000002</v>
      </c>
      <c r="E134" s="155">
        <v>4308618.88</v>
      </c>
      <c r="F134" s="155">
        <v>4308618.88</v>
      </c>
      <c r="G134" s="80">
        <f>D134-E134</f>
        <v>20838593.540000003</v>
      </c>
    </row>
    <row r="135" spans="1:7" x14ac:dyDescent="0.25">
      <c r="A135" s="84" t="s">
        <v>336</v>
      </c>
      <c r="B135" s="156"/>
      <c r="C135" s="156"/>
      <c r="D135" s="156">
        <f t="shared" si="45"/>
        <v>0</v>
      </c>
      <c r="E135" s="156"/>
      <c r="F135" s="156"/>
      <c r="G135" s="80">
        <f t="shared" ref="G135:G136" si="46">D135-E135</f>
        <v>0</v>
      </c>
    </row>
    <row r="136" spans="1:7" x14ac:dyDescent="0.25">
      <c r="A136" s="84" t="s">
        <v>337</v>
      </c>
      <c r="B136" s="156"/>
      <c r="C136" s="156"/>
      <c r="D136" s="156">
        <f t="shared" si="45"/>
        <v>0</v>
      </c>
      <c r="E136" s="156"/>
      <c r="F136" s="156"/>
      <c r="G136" s="80">
        <f t="shared" si="46"/>
        <v>0</v>
      </c>
    </row>
    <row r="137" spans="1:7" x14ac:dyDescent="0.25">
      <c r="A137" s="83" t="s">
        <v>338</v>
      </c>
      <c r="B137" s="80">
        <f>SUM(B138:B142,B144:B145)</f>
        <v>25983857.140000001</v>
      </c>
      <c r="C137" s="80">
        <f t="shared" ref="C137:G137" si="47">SUM(C138:C142,C144:C145)</f>
        <v>-10174477.74</v>
      </c>
      <c r="D137" s="80">
        <f t="shared" si="47"/>
        <v>15809379.4</v>
      </c>
      <c r="E137" s="80">
        <f t="shared" si="47"/>
        <v>0</v>
      </c>
      <c r="F137" s="80">
        <f t="shared" si="47"/>
        <v>0</v>
      </c>
      <c r="G137" s="80">
        <f t="shared" si="47"/>
        <v>15809379.4</v>
      </c>
    </row>
    <row r="138" spans="1:7" x14ac:dyDescent="0.25">
      <c r="A138" s="84" t="s">
        <v>339</v>
      </c>
      <c r="B138" s="156"/>
      <c r="C138" s="156"/>
      <c r="D138" s="156">
        <f t="shared" ref="D138:D145" si="48">B138+C138</f>
        <v>0</v>
      </c>
      <c r="E138" s="156"/>
      <c r="F138" s="156"/>
      <c r="G138" s="80">
        <f>D138-E138</f>
        <v>0</v>
      </c>
    </row>
    <row r="139" spans="1:7" x14ac:dyDescent="0.25">
      <c r="A139" s="84" t="s">
        <v>340</v>
      </c>
      <c r="B139" s="156"/>
      <c r="C139" s="156"/>
      <c r="D139" s="156">
        <f t="shared" si="48"/>
        <v>0</v>
      </c>
      <c r="E139" s="156"/>
      <c r="F139" s="156"/>
      <c r="G139" s="80">
        <f t="shared" ref="G139:G145" si="49">D139-E139</f>
        <v>0</v>
      </c>
    </row>
    <row r="140" spans="1:7" x14ac:dyDescent="0.25">
      <c r="A140" s="84" t="s">
        <v>341</v>
      </c>
      <c r="B140" s="156"/>
      <c r="C140" s="156"/>
      <c r="D140" s="156">
        <f t="shared" si="48"/>
        <v>0</v>
      </c>
      <c r="E140" s="156"/>
      <c r="F140" s="156"/>
      <c r="G140" s="80">
        <f t="shared" si="49"/>
        <v>0</v>
      </c>
    </row>
    <row r="141" spans="1:7" x14ac:dyDescent="0.25">
      <c r="A141" s="84" t="s">
        <v>342</v>
      </c>
      <c r="B141" s="156"/>
      <c r="C141" s="156"/>
      <c r="D141" s="156">
        <f t="shared" si="48"/>
        <v>0</v>
      </c>
      <c r="E141" s="156"/>
      <c r="F141" s="156"/>
      <c r="G141" s="80">
        <f t="shared" si="49"/>
        <v>0</v>
      </c>
    </row>
    <row r="142" spans="1:7" x14ac:dyDescent="0.25">
      <c r="A142" s="84" t="s">
        <v>343</v>
      </c>
      <c r="B142" s="156"/>
      <c r="C142" s="156"/>
      <c r="D142" s="156">
        <f t="shared" si="48"/>
        <v>0</v>
      </c>
      <c r="E142" s="156"/>
      <c r="F142" s="156"/>
      <c r="G142" s="80">
        <f t="shared" si="49"/>
        <v>0</v>
      </c>
    </row>
    <row r="143" spans="1:7" x14ac:dyDescent="0.25">
      <c r="A143" s="84" t="s">
        <v>3301</v>
      </c>
      <c r="B143" s="156"/>
      <c r="C143" s="156"/>
      <c r="D143" s="156">
        <f t="shared" si="48"/>
        <v>0</v>
      </c>
      <c r="E143" s="156"/>
      <c r="F143" s="156"/>
      <c r="G143" s="80">
        <f t="shared" si="49"/>
        <v>0</v>
      </c>
    </row>
    <row r="144" spans="1:7" x14ac:dyDescent="0.25">
      <c r="A144" s="84" t="s">
        <v>345</v>
      </c>
      <c r="B144" s="156"/>
      <c r="C144" s="156"/>
      <c r="D144" s="156">
        <f t="shared" si="48"/>
        <v>0</v>
      </c>
      <c r="E144" s="156"/>
      <c r="F144" s="156"/>
      <c r="G144" s="80">
        <f t="shared" si="49"/>
        <v>0</v>
      </c>
    </row>
    <row r="145" spans="1:7" x14ac:dyDescent="0.25">
      <c r="A145" s="84" t="s">
        <v>346</v>
      </c>
      <c r="B145" s="155">
        <v>25983857.140000001</v>
      </c>
      <c r="C145" s="155">
        <v>-10174477.74</v>
      </c>
      <c r="D145" s="156">
        <f t="shared" si="48"/>
        <v>15809379.4</v>
      </c>
      <c r="E145" s="155">
        <v>0</v>
      </c>
      <c r="F145" s="155">
        <v>0</v>
      </c>
      <c r="G145" s="80">
        <f t="shared" si="49"/>
        <v>15809379.4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50">SUM(C147:C149)</f>
        <v>0</v>
      </c>
      <c r="D146" s="80">
        <f t="shared" si="50"/>
        <v>0</v>
      </c>
      <c r="E146" s="80">
        <f t="shared" si="50"/>
        <v>0</v>
      </c>
      <c r="F146" s="80">
        <f t="shared" si="50"/>
        <v>0</v>
      </c>
      <c r="G146" s="80">
        <f t="shared" si="50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51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51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52">SUM(C151:C157)</f>
        <v>0</v>
      </c>
      <c r="D150" s="80">
        <f t="shared" si="52"/>
        <v>0</v>
      </c>
      <c r="E150" s="80">
        <f t="shared" si="52"/>
        <v>0</v>
      </c>
      <c r="F150" s="80">
        <f t="shared" si="52"/>
        <v>0</v>
      </c>
      <c r="G150" s="80">
        <f t="shared" si="52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53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53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53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53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53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53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94673000</v>
      </c>
      <c r="C159" s="79">
        <f t="shared" ref="C159:G159" si="54">C9+C84</f>
        <v>33326569.589999996</v>
      </c>
      <c r="D159" s="79">
        <f t="shared" si="54"/>
        <v>127999569.59</v>
      </c>
      <c r="E159" s="79">
        <f t="shared" si="54"/>
        <v>33203018.989999998</v>
      </c>
      <c r="F159" s="79">
        <f t="shared" si="54"/>
        <v>33203018.989999998</v>
      </c>
      <c r="G159" s="79">
        <f t="shared" si="54"/>
        <v>94796550.599999994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55673000</v>
      </c>
      <c r="Q2" s="18">
        <f>'Formato 6 a)'!C9</f>
        <v>7266745.1099999994</v>
      </c>
      <c r="R2" s="18">
        <f>'Formato 6 a)'!D9</f>
        <v>62939745.109999999</v>
      </c>
      <c r="S2" s="18">
        <f>'Formato 6 a)'!E9</f>
        <v>22084318.109999999</v>
      </c>
      <c r="T2" s="18">
        <f>'Formato 6 a)'!F9</f>
        <v>22084318.109999999</v>
      </c>
      <c r="U2" s="18">
        <f>'Formato 6 a)'!G9</f>
        <v>40855427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28811035.859999999</v>
      </c>
      <c r="Q3" s="18">
        <f>'Formato 6 a)'!C10</f>
        <v>695158.05999999994</v>
      </c>
      <c r="R3" s="18">
        <f>'Formato 6 a)'!D10</f>
        <v>29506193.920000002</v>
      </c>
      <c r="S3" s="18">
        <f>'Formato 6 a)'!E10</f>
        <v>11090566.1</v>
      </c>
      <c r="T3" s="18">
        <f>'Formato 6 a)'!F10</f>
        <v>11090566.1</v>
      </c>
      <c r="U3" s="18">
        <f>'Formato 6 a)'!G10</f>
        <v>18415627.82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21418218.25</v>
      </c>
      <c r="Q4" s="18">
        <f>'Formato 6 a)'!C11</f>
        <v>338758.16</v>
      </c>
      <c r="R4" s="18">
        <f>'Formato 6 a)'!D11</f>
        <v>21756976.41</v>
      </c>
      <c r="S4" s="18">
        <f>'Formato 6 a)'!E11</f>
        <v>10168915.210000001</v>
      </c>
      <c r="T4" s="18">
        <f>'Formato 6 a)'!F11</f>
        <v>10168915.210000001</v>
      </c>
      <c r="U4" s="18">
        <f>'Formato 6 a)'!G11</f>
        <v>11588061.199999999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1077558.08</v>
      </c>
      <c r="Q5" s="18">
        <f>'Formato 6 a)'!C12</f>
        <v>184960.15</v>
      </c>
      <c r="R5" s="18">
        <f>'Formato 6 a)'!D12</f>
        <v>1262518.23</v>
      </c>
      <c r="S5" s="18">
        <f>'Formato 6 a)'!E12</f>
        <v>479224.22</v>
      </c>
      <c r="T5" s="18">
        <f>'Formato 6 a)'!F12</f>
        <v>479224.22</v>
      </c>
      <c r="U5" s="18">
        <f>'Formato 6 a)'!G12</f>
        <v>783294.01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3442622.54</v>
      </c>
      <c r="Q6" s="18">
        <f>'Formato 6 a)'!C13</f>
        <v>111439.75</v>
      </c>
      <c r="R6" s="18">
        <f>'Formato 6 a)'!D13</f>
        <v>3554062.29</v>
      </c>
      <c r="S6" s="18">
        <f>'Formato 6 a)'!E13</f>
        <v>179794.45</v>
      </c>
      <c r="T6" s="18">
        <f>'Formato 6 a)'!F13</f>
        <v>179794.45</v>
      </c>
      <c r="U6" s="18">
        <f>'Formato 6 a)'!G13</f>
        <v>3374267.84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215441.92000000001</v>
      </c>
      <c r="Q7" s="18">
        <f>'Formato 6 a)'!C14</f>
        <v>60000</v>
      </c>
      <c r="R7" s="18">
        <f>'Formato 6 a)'!D14</f>
        <v>275441.92000000004</v>
      </c>
      <c r="S7" s="18">
        <f>'Formato 6 a)'!E14</f>
        <v>52771.199999999997</v>
      </c>
      <c r="T7" s="18">
        <f>'Formato 6 a)'!F14</f>
        <v>52771.199999999997</v>
      </c>
      <c r="U7" s="18">
        <f>'Formato 6 a)'!G14</f>
        <v>222670.72000000003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2297195.0699999998</v>
      </c>
      <c r="Q8" s="18">
        <f>'Formato 6 a)'!C15</f>
        <v>3273.9</v>
      </c>
      <c r="R8" s="18">
        <f>'Formato 6 a)'!D15</f>
        <v>2300468.9699999997</v>
      </c>
      <c r="S8" s="18">
        <f>'Formato 6 a)'!E15</f>
        <v>209861.02</v>
      </c>
      <c r="T8" s="18">
        <f>'Formato 6 a)'!F15</f>
        <v>209861.02</v>
      </c>
      <c r="U8" s="18">
        <f>'Formato 6 a)'!G15</f>
        <v>2090607.9499999997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360000</v>
      </c>
      <c r="Q9" s="18">
        <f>'Formato 6 a)'!C16</f>
        <v>-3273.9</v>
      </c>
      <c r="R9" s="18">
        <f>'Formato 6 a)'!D16</f>
        <v>356726.1</v>
      </c>
      <c r="S9" s="18">
        <f>'Formato 6 a)'!E16</f>
        <v>0</v>
      </c>
      <c r="T9" s="18">
        <f>'Formato 6 a)'!F16</f>
        <v>0</v>
      </c>
      <c r="U9" s="18">
        <f>'Formato 6 a)'!G16</f>
        <v>356726.1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4398700</v>
      </c>
      <c r="Q11" s="18">
        <f>'Formato 6 a)'!C18</f>
        <v>-962788.37</v>
      </c>
      <c r="R11" s="18">
        <f>'Formato 6 a)'!D18</f>
        <v>3435911.63</v>
      </c>
      <c r="S11" s="18">
        <f>'Formato 6 a)'!E18</f>
        <v>2014884.1099999999</v>
      </c>
      <c r="T11" s="18">
        <f>'Formato 6 a)'!F18</f>
        <v>2014884.1099999999</v>
      </c>
      <c r="U11" s="18">
        <f>'Formato 6 a)'!G18</f>
        <v>1421027.5199999998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622500</v>
      </c>
      <c r="Q12" s="18">
        <f>'Formato 6 a)'!C19</f>
        <v>14470.94</v>
      </c>
      <c r="R12" s="18">
        <f>'Formato 6 a)'!D19</f>
        <v>636970.93999999994</v>
      </c>
      <c r="S12" s="18">
        <f>'Formato 6 a)'!E19</f>
        <v>181104.7</v>
      </c>
      <c r="T12" s="18">
        <f>'Formato 6 a)'!F19</f>
        <v>181104.7</v>
      </c>
      <c r="U12" s="18">
        <f>'Formato 6 a)'!G19</f>
        <v>455866.23999999993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279000</v>
      </c>
      <c r="Q13" s="18">
        <f>'Formato 6 a)'!C20</f>
        <v>-3246</v>
      </c>
      <c r="R13" s="18">
        <f>'Formato 6 a)'!D20</f>
        <v>275754</v>
      </c>
      <c r="S13" s="18">
        <f>'Formato 6 a)'!E20</f>
        <v>122101.54</v>
      </c>
      <c r="T13" s="18">
        <f>'Formato 6 a)'!F20</f>
        <v>122101.54</v>
      </c>
      <c r="U13" s="18">
        <f>'Formato 6 a)'!G20</f>
        <v>153652.46000000002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465700</v>
      </c>
      <c r="Q15" s="18">
        <f>'Formato 6 a)'!C22</f>
        <v>172151.6</v>
      </c>
      <c r="R15" s="18">
        <f>'Formato 6 a)'!D22</f>
        <v>637851.6</v>
      </c>
      <c r="S15" s="18">
        <f>'Formato 6 a)'!E22</f>
        <v>340644.7</v>
      </c>
      <c r="T15" s="18">
        <f>'Formato 6 a)'!F22</f>
        <v>340644.7</v>
      </c>
      <c r="U15" s="18">
        <f>'Formato 6 a)'!G22</f>
        <v>297206.89999999997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185000</v>
      </c>
      <c r="Q16" s="18">
        <f>'Formato 6 a)'!C23</f>
        <v>-5022.3999999999996</v>
      </c>
      <c r="R16" s="18">
        <f>'Formato 6 a)'!D23</f>
        <v>179977.60000000001</v>
      </c>
      <c r="S16" s="18">
        <f>'Formato 6 a)'!E23</f>
        <v>71153.460000000006</v>
      </c>
      <c r="T16" s="18">
        <f>'Formato 6 a)'!F23</f>
        <v>71153.460000000006</v>
      </c>
      <c r="U16" s="18">
        <f>'Formato 6 a)'!G23</f>
        <v>108824.14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2598500</v>
      </c>
      <c r="Q17" s="18">
        <f>'Formato 6 a)'!C24</f>
        <v>-1117977.26</v>
      </c>
      <c r="R17" s="18">
        <f>'Formato 6 a)'!D24</f>
        <v>1480522.74</v>
      </c>
      <c r="S17" s="18">
        <f>'Formato 6 a)'!E24</f>
        <v>1263010.07</v>
      </c>
      <c r="T17" s="18">
        <f>'Formato 6 a)'!F24</f>
        <v>1263010.07</v>
      </c>
      <c r="U17" s="18">
        <f>'Formato 6 a)'!G24</f>
        <v>217512.66999999993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164000</v>
      </c>
      <c r="Q18" s="18">
        <f>'Formato 6 a)'!C25</f>
        <v>-32665.25</v>
      </c>
      <c r="R18" s="18">
        <f>'Formato 6 a)'!D25</f>
        <v>131334.75</v>
      </c>
      <c r="S18" s="18">
        <f>'Formato 6 a)'!E25</f>
        <v>14876.24</v>
      </c>
      <c r="T18" s="18">
        <f>'Formato 6 a)'!F25</f>
        <v>14876.24</v>
      </c>
      <c r="U18" s="18">
        <f>'Formato 6 a)'!G25</f>
        <v>116458.51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84000</v>
      </c>
      <c r="Q20" s="18">
        <f>'Formato 6 a)'!C27</f>
        <v>9500</v>
      </c>
      <c r="R20" s="18">
        <f>'Formato 6 a)'!D27</f>
        <v>93500</v>
      </c>
      <c r="S20" s="18">
        <f>'Formato 6 a)'!E27</f>
        <v>21993.4</v>
      </c>
      <c r="T20" s="18">
        <f>'Formato 6 a)'!F27</f>
        <v>21993.4</v>
      </c>
      <c r="U20" s="18">
        <f>'Formato 6 a)'!G27</f>
        <v>71506.600000000006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11788310.42</v>
      </c>
      <c r="Q21" s="18">
        <f>'Formato 6 a)'!C28</f>
        <v>590060.65</v>
      </c>
      <c r="R21" s="18">
        <f>'Formato 6 a)'!D28</f>
        <v>12378371.069999998</v>
      </c>
      <c r="S21" s="18">
        <f>'Formato 6 a)'!E28</f>
        <v>2704444.0700000003</v>
      </c>
      <c r="T21" s="18">
        <f>'Formato 6 a)'!F28</f>
        <v>2704444.0700000003</v>
      </c>
      <c r="U21" s="18">
        <f>'Formato 6 a)'!G28</f>
        <v>9673927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2319300</v>
      </c>
      <c r="Q22" s="18">
        <f>'Formato 6 a)'!C29</f>
        <v>18188.009999999998</v>
      </c>
      <c r="R22" s="18">
        <f>'Formato 6 a)'!D29</f>
        <v>2337488.0099999998</v>
      </c>
      <c r="S22" s="18">
        <f>'Formato 6 a)'!E29</f>
        <v>1061933.32</v>
      </c>
      <c r="T22" s="18">
        <f>'Formato 6 a)'!F29</f>
        <v>1061933.32</v>
      </c>
      <c r="U22" s="18">
        <f>'Formato 6 a)'!G29</f>
        <v>1275554.6899999997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331000</v>
      </c>
      <c r="Q23" s="18">
        <f>'Formato 6 a)'!C30</f>
        <v>-3000</v>
      </c>
      <c r="R23" s="18">
        <f>'Formato 6 a)'!D30</f>
        <v>328000</v>
      </c>
      <c r="S23" s="18">
        <f>'Formato 6 a)'!E30</f>
        <v>58500.09</v>
      </c>
      <c r="T23" s="18">
        <f>'Formato 6 a)'!F30</f>
        <v>58500.09</v>
      </c>
      <c r="U23" s="18">
        <f>'Formato 6 a)'!G30</f>
        <v>269499.91000000003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107000</v>
      </c>
      <c r="Q24" s="18">
        <f>'Formato 6 a)'!C31</f>
        <v>12504.8</v>
      </c>
      <c r="R24" s="18">
        <f>'Formato 6 a)'!D31</f>
        <v>119504.8</v>
      </c>
      <c r="S24" s="18">
        <f>'Formato 6 a)'!E31</f>
        <v>12504.8</v>
      </c>
      <c r="T24" s="18">
        <f>'Formato 6 a)'!F31</f>
        <v>12504.8</v>
      </c>
      <c r="U24" s="18">
        <f>'Formato 6 a)'!G31</f>
        <v>107000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327000</v>
      </c>
      <c r="Q25" s="18">
        <f>'Formato 6 a)'!C32</f>
        <v>12791.31</v>
      </c>
      <c r="R25" s="18">
        <f>'Formato 6 a)'!D32</f>
        <v>339791.31</v>
      </c>
      <c r="S25" s="18">
        <f>'Formato 6 a)'!E32</f>
        <v>188326.75</v>
      </c>
      <c r="T25" s="18">
        <f>'Formato 6 a)'!F32</f>
        <v>188326.75</v>
      </c>
      <c r="U25" s="18">
        <f>'Formato 6 a)'!G32</f>
        <v>151464.56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1971900</v>
      </c>
      <c r="Q26" s="18">
        <f>'Formato 6 a)'!C33</f>
        <v>56993.52</v>
      </c>
      <c r="R26" s="18">
        <f>'Formato 6 a)'!D33</f>
        <v>2028893.52</v>
      </c>
      <c r="S26" s="18">
        <f>'Formato 6 a)'!E33</f>
        <v>545413.75</v>
      </c>
      <c r="T26" s="18">
        <f>'Formato 6 a)'!F33</f>
        <v>545413.75</v>
      </c>
      <c r="U26" s="18">
        <f>'Formato 6 a)'!G33</f>
        <v>1483479.77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332000</v>
      </c>
      <c r="Q27" s="18">
        <f>'Formato 6 a)'!C34</f>
        <v>-35401.94</v>
      </c>
      <c r="R27" s="18">
        <f>'Formato 6 a)'!D34</f>
        <v>296598.06</v>
      </c>
      <c r="S27" s="18">
        <f>'Formato 6 a)'!E34</f>
        <v>34104.1</v>
      </c>
      <c r="T27" s="18">
        <f>'Formato 6 a)'!F34</f>
        <v>34104.1</v>
      </c>
      <c r="U27" s="18">
        <f>'Formato 6 a)'!G34</f>
        <v>262493.96000000002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297300</v>
      </c>
      <c r="Q28" s="18">
        <f>'Formato 6 a)'!C35</f>
        <v>13259.95</v>
      </c>
      <c r="R28" s="18">
        <f>'Formato 6 a)'!D35</f>
        <v>310559.95</v>
      </c>
      <c r="S28" s="18">
        <f>'Formato 6 a)'!E35</f>
        <v>80757.89</v>
      </c>
      <c r="T28" s="18">
        <f>'Formato 6 a)'!F35</f>
        <v>80757.89</v>
      </c>
      <c r="U28" s="18">
        <f>'Formato 6 a)'!G35</f>
        <v>229802.06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5429000</v>
      </c>
      <c r="Q29" s="18">
        <f>'Formato 6 a)'!C36</f>
        <v>8620</v>
      </c>
      <c r="R29" s="18">
        <f>'Formato 6 a)'!D36</f>
        <v>5437620</v>
      </c>
      <c r="S29" s="18">
        <f>'Formato 6 a)'!E36</f>
        <v>88901.37</v>
      </c>
      <c r="T29" s="18">
        <f>'Formato 6 a)'!F36</f>
        <v>88901.37</v>
      </c>
      <c r="U29" s="18">
        <f>'Formato 6 a)'!G36</f>
        <v>5348718.63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673810.42</v>
      </c>
      <c r="Q30" s="18">
        <f>'Formato 6 a)'!C37</f>
        <v>506105</v>
      </c>
      <c r="R30" s="18">
        <f>'Formato 6 a)'!D37</f>
        <v>1179915.42</v>
      </c>
      <c r="S30" s="18">
        <f>'Formato 6 a)'!E37</f>
        <v>634002</v>
      </c>
      <c r="T30" s="18">
        <f>'Formato 6 a)'!F37</f>
        <v>634002</v>
      </c>
      <c r="U30" s="18">
        <f>'Formato 6 a)'!G37</f>
        <v>545913.41999999993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8020000</v>
      </c>
      <c r="Q31" s="18">
        <f>'Formato 6 a)'!C38</f>
        <v>1697194.48</v>
      </c>
      <c r="R31" s="18">
        <f>'Formato 6 a)'!D38</f>
        <v>9717194.4800000004</v>
      </c>
      <c r="S31" s="18">
        <f>'Formato 6 a)'!E38</f>
        <v>4274371.92</v>
      </c>
      <c r="T31" s="18">
        <f>'Formato 6 a)'!F38</f>
        <v>4274371.92</v>
      </c>
      <c r="U31" s="18">
        <f>'Formato 6 a)'!G38</f>
        <v>5442822.5600000005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5520000</v>
      </c>
      <c r="Q33" s="18">
        <f>'Formato 6 a)'!C40</f>
        <v>800000</v>
      </c>
      <c r="R33" s="18">
        <f>'Formato 6 a)'!D40</f>
        <v>6320000</v>
      </c>
      <c r="S33" s="18">
        <f>'Formato 6 a)'!E40</f>
        <v>2730000</v>
      </c>
      <c r="T33" s="18">
        <f>'Formato 6 a)'!F40</f>
        <v>2730000</v>
      </c>
      <c r="U33" s="18">
        <f>'Formato 6 a)'!G40</f>
        <v>3590000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2500000</v>
      </c>
      <c r="Q35" s="18">
        <f>'Formato 6 a)'!C42</f>
        <v>897194.48</v>
      </c>
      <c r="R35" s="18">
        <f>'Formato 6 a)'!D42</f>
        <v>3397194.48</v>
      </c>
      <c r="S35" s="18">
        <f>'Formato 6 a)'!E42</f>
        <v>1544371.92</v>
      </c>
      <c r="T35" s="18">
        <f>'Formato 6 a)'!F42</f>
        <v>1544371.92</v>
      </c>
      <c r="U35" s="18">
        <f>'Formato 6 a)'!G42</f>
        <v>1852822.56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754000</v>
      </c>
      <c r="Q41" s="18">
        <f>'Formato 6 a)'!C48</f>
        <v>-88993.33</v>
      </c>
      <c r="R41" s="18">
        <f>'Formato 6 a)'!D48</f>
        <v>665006.66999999993</v>
      </c>
      <c r="S41" s="18">
        <f>'Formato 6 a)'!E48</f>
        <v>64290.01</v>
      </c>
      <c r="T41" s="18">
        <f>'Formato 6 a)'!F48</f>
        <v>64290.01</v>
      </c>
      <c r="U41" s="18">
        <f>'Formato 6 a)'!G48</f>
        <v>600716.65999999992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592000</v>
      </c>
      <c r="Q42" s="18">
        <f>'Formato 6 a)'!C49</f>
        <v>-55332.31</v>
      </c>
      <c r="R42" s="18">
        <f>'Formato 6 a)'!D49</f>
        <v>536667.68999999994</v>
      </c>
      <c r="S42" s="18">
        <f>'Formato 6 a)'!E49</f>
        <v>64290.01</v>
      </c>
      <c r="T42" s="18">
        <f>'Formato 6 a)'!F49</f>
        <v>64290.01</v>
      </c>
      <c r="U42" s="18">
        <f>'Formato 6 a)'!G49</f>
        <v>472377.67999999993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44000</v>
      </c>
      <c r="Q43" s="18">
        <f>'Formato 6 a)'!C50</f>
        <v>-7000</v>
      </c>
      <c r="R43" s="18">
        <f>'Formato 6 a)'!D50</f>
        <v>37000</v>
      </c>
      <c r="S43" s="18">
        <f>'Formato 6 a)'!E50</f>
        <v>0</v>
      </c>
      <c r="T43" s="18">
        <f>'Formato 6 a)'!F50</f>
        <v>0</v>
      </c>
      <c r="U43" s="18">
        <f>'Formato 6 a)'!G50</f>
        <v>37000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10000</v>
      </c>
      <c r="Q44" s="18">
        <f>'Formato 6 a)'!C51</f>
        <v>0</v>
      </c>
      <c r="R44" s="18">
        <f>'Formato 6 a)'!D51</f>
        <v>10000</v>
      </c>
      <c r="S44" s="18">
        <f>'Formato 6 a)'!E51</f>
        <v>0</v>
      </c>
      <c r="T44" s="18">
        <f>'Formato 6 a)'!F51</f>
        <v>0</v>
      </c>
      <c r="U44" s="18">
        <f>'Formato 6 a)'!G51</f>
        <v>10000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101000</v>
      </c>
      <c r="Q47" s="18">
        <f>'Formato 6 a)'!C54</f>
        <v>-26661.02</v>
      </c>
      <c r="R47" s="18">
        <f>'Formato 6 a)'!D54</f>
        <v>74338.98</v>
      </c>
      <c r="S47" s="18">
        <f>'Formato 6 a)'!E54</f>
        <v>0</v>
      </c>
      <c r="T47" s="18">
        <f>'Formato 6 a)'!F54</f>
        <v>0</v>
      </c>
      <c r="U47" s="18">
        <f>'Formato 6 a)'!G54</f>
        <v>74338.98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7000</v>
      </c>
      <c r="Q50" s="18">
        <f>'Formato 6 a)'!C57</f>
        <v>0</v>
      </c>
      <c r="R50" s="18">
        <f>'Formato 6 a)'!D57</f>
        <v>7000</v>
      </c>
      <c r="S50" s="18">
        <f>'Formato 6 a)'!E57</f>
        <v>0</v>
      </c>
      <c r="T50" s="18">
        <f>'Formato 6 a)'!F57</f>
        <v>0</v>
      </c>
      <c r="U50" s="18">
        <f>'Formato 6 a)'!G57</f>
        <v>7000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250000</v>
      </c>
      <c r="Q51" s="18">
        <f>'Formato 6 a)'!C58</f>
        <v>2630326.2799999998</v>
      </c>
      <c r="R51" s="18">
        <f>'Formato 6 a)'!D58</f>
        <v>2880326.28</v>
      </c>
      <c r="S51" s="18">
        <f>'Formato 6 a)'!E58</f>
        <v>1935761.9</v>
      </c>
      <c r="T51" s="18">
        <f>'Formato 6 a)'!F58</f>
        <v>1935761.9</v>
      </c>
      <c r="U51" s="18">
        <f>'Formato 6 a)'!G58</f>
        <v>944564.37999999989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2500495.65</v>
      </c>
      <c r="R52" s="18">
        <f>'Formato 6 a)'!D59</f>
        <v>2500495.65</v>
      </c>
      <c r="S52" s="18">
        <f>'Formato 6 a)'!E59</f>
        <v>1692831.27</v>
      </c>
      <c r="T52" s="18">
        <f>'Formato 6 a)'!F59</f>
        <v>1692831.27</v>
      </c>
      <c r="U52" s="18">
        <f>'Formato 6 a)'!G59</f>
        <v>807664.37999999989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250000</v>
      </c>
      <c r="Q54" s="18">
        <f>'Formato 6 a)'!C61</f>
        <v>129830.63</v>
      </c>
      <c r="R54" s="18">
        <f>'Formato 6 a)'!D61</f>
        <v>379830.63</v>
      </c>
      <c r="S54" s="18">
        <f>'Formato 6 a)'!E61</f>
        <v>242930.63</v>
      </c>
      <c r="T54" s="18">
        <f>'Formato 6 a)'!F61</f>
        <v>242930.63</v>
      </c>
      <c r="U54" s="18">
        <f>'Formato 6 a)'!G61</f>
        <v>136900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1650953.72</v>
      </c>
      <c r="Q55" s="18">
        <f>'Formato 6 a)'!C62</f>
        <v>2705787.34</v>
      </c>
      <c r="R55" s="18">
        <f>'Formato 6 a)'!D62</f>
        <v>4356741.0599999996</v>
      </c>
      <c r="S55" s="18">
        <f>'Formato 6 a)'!E62</f>
        <v>0</v>
      </c>
      <c r="T55" s="18">
        <f>'Formato 6 a)'!F62</f>
        <v>0</v>
      </c>
      <c r="U55" s="18">
        <f>'Formato 6 a)'!G62</f>
        <v>4356741.0599999996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1650953.72</v>
      </c>
      <c r="Q63" s="18">
        <f>'Formato 6 a)'!C70</f>
        <v>2705787.34</v>
      </c>
      <c r="R63" s="18">
        <f>'Formato 6 a)'!D70</f>
        <v>4356741.0599999996</v>
      </c>
      <c r="S63" s="18">
        <f>'Formato 6 a)'!E70</f>
        <v>0</v>
      </c>
      <c r="T63" s="18">
        <f>'Formato 6 a)'!F70</f>
        <v>0</v>
      </c>
      <c r="U63" s="18">
        <f>'Formato 6 a)'!G70</f>
        <v>4356741.0599999996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39000000</v>
      </c>
      <c r="Q76">
        <f>'Formato 6 a)'!C84</f>
        <v>26059824.479999997</v>
      </c>
      <c r="R76">
        <f>'Formato 6 a)'!D84</f>
        <v>65059824.479999997</v>
      </c>
      <c r="S76">
        <f>'Formato 6 a)'!E84</f>
        <v>11118700.879999999</v>
      </c>
      <c r="T76">
        <f>'Formato 6 a)'!F84</f>
        <v>11118700.879999999</v>
      </c>
      <c r="U76">
        <f>'Formato 6 a)'!G84</f>
        <v>53941123.600000001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7086142.8600000003</v>
      </c>
      <c r="Q77">
        <f>'Formato 6 a)'!C85</f>
        <v>-12303.409999999996</v>
      </c>
      <c r="R77">
        <f>'Formato 6 a)'!D85</f>
        <v>7073839.4500000002</v>
      </c>
      <c r="S77">
        <f>'Formato 6 a)'!E85</f>
        <v>2665238.4300000002</v>
      </c>
      <c r="T77">
        <f>'Formato 6 a)'!F85</f>
        <v>2665238.4300000002</v>
      </c>
      <c r="U77">
        <f>'Formato 6 a)'!G85</f>
        <v>4408601.0200000005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6159834.9000000004</v>
      </c>
      <c r="Q78">
        <f>'Formato 6 a)'!C86</f>
        <v>0</v>
      </c>
      <c r="R78">
        <f>'Formato 6 a)'!D86</f>
        <v>6159834.9000000004</v>
      </c>
      <c r="S78">
        <f>'Formato 6 a)'!E86</f>
        <v>2584246.02</v>
      </c>
      <c r="T78">
        <f>'Formato 6 a)'!F86</f>
        <v>2584246.02</v>
      </c>
      <c r="U78">
        <f>'Formato 6 a)'!G86</f>
        <v>3575588.8800000004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29329.59</v>
      </c>
      <c r="R79">
        <f>'Formato 6 a)'!D87</f>
        <v>29329.59</v>
      </c>
      <c r="S79">
        <f>'Formato 6 a)'!E87</f>
        <v>22960</v>
      </c>
      <c r="T79">
        <f>'Formato 6 a)'!F87</f>
        <v>22960</v>
      </c>
      <c r="U79">
        <f>'Formato 6 a)'!G87</f>
        <v>6369.59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826307.96</v>
      </c>
      <c r="Q80">
        <f>'Formato 6 a)'!C88</f>
        <v>1720.92</v>
      </c>
      <c r="R80">
        <f>'Formato 6 a)'!D88</f>
        <v>828028.88</v>
      </c>
      <c r="S80">
        <f>'Formato 6 a)'!E88</f>
        <v>52906.71</v>
      </c>
      <c r="T80">
        <f>'Formato 6 a)'!F88</f>
        <v>52906.71</v>
      </c>
      <c r="U80">
        <f>'Formato 6 a)'!G88</f>
        <v>775122.17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3404.78</v>
      </c>
      <c r="R82">
        <f>'Formato 6 a)'!D90</f>
        <v>3404.78</v>
      </c>
      <c r="S82">
        <f>'Formato 6 a)'!E90</f>
        <v>5125.7</v>
      </c>
      <c r="T82">
        <f>'Formato 6 a)'!F90</f>
        <v>5125.7</v>
      </c>
      <c r="U82">
        <f>'Formato 6 a)'!G90</f>
        <v>-1720.9199999999996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100000</v>
      </c>
      <c r="Q83">
        <f>'Formato 6 a)'!C91</f>
        <v>-46758.7</v>
      </c>
      <c r="R83">
        <f>'Formato 6 a)'!D91</f>
        <v>53241.3</v>
      </c>
      <c r="S83">
        <f>'Formato 6 a)'!E91</f>
        <v>0</v>
      </c>
      <c r="T83">
        <f>'Formato 6 a)'!F91</f>
        <v>0</v>
      </c>
      <c r="U83">
        <f>'Formato 6 a)'!G91</f>
        <v>53241.3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1360000</v>
      </c>
      <c r="Q85">
        <f>'Formato 6 a)'!C93</f>
        <v>0</v>
      </c>
      <c r="R85">
        <f>'Formato 6 a)'!D93</f>
        <v>1360000</v>
      </c>
      <c r="S85">
        <f>'Formato 6 a)'!E93</f>
        <v>539547.62</v>
      </c>
      <c r="T85">
        <f>'Formato 6 a)'!F93</f>
        <v>539547.62</v>
      </c>
      <c r="U85">
        <f>'Formato 6 a)'!G93</f>
        <v>820452.38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200000</v>
      </c>
      <c r="Q89">
        <f>'Formato 6 a)'!C97</f>
        <v>0</v>
      </c>
      <c r="R89">
        <f>'Formato 6 a)'!D97</f>
        <v>200000</v>
      </c>
      <c r="S89">
        <f>'Formato 6 a)'!E97</f>
        <v>10543.01</v>
      </c>
      <c r="T89">
        <f>'Formato 6 a)'!F97</f>
        <v>10543.01</v>
      </c>
      <c r="U89">
        <f>'Formato 6 a)'!G97</f>
        <v>189456.99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1160000</v>
      </c>
      <c r="Q91">
        <f>'Formato 6 a)'!C99</f>
        <v>0</v>
      </c>
      <c r="R91">
        <f>'Formato 6 a)'!D99</f>
        <v>1160000</v>
      </c>
      <c r="S91">
        <f>'Formato 6 a)'!E99</f>
        <v>529004.61</v>
      </c>
      <c r="T91">
        <f>'Formato 6 a)'!F99</f>
        <v>529004.61</v>
      </c>
      <c r="U91">
        <f>'Formato 6 a)'!G99</f>
        <v>630995.39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570000</v>
      </c>
      <c r="Q95">
        <f>'Formato 6 a)'!C103</f>
        <v>0</v>
      </c>
      <c r="R95">
        <f>'Formato 6 a)'!D103</f>
        <v>570000</v>
      </c>
      <c r="S95">
        <f>'Formato 6 a)'!E103</f>
        <v>14488.4</v>
      </c>
      <c r="T95">
        <f>'Formato 6 a)'!F103</f>
        <v>14488.4</v>
      </c>
      <c r="U95">
        <f>'Formato 6 a)'!G103</f>
        <v>555511.6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570000</v>
      </c>
      <c r="Q100">
        <f>'Formato 6 a)'!C108</f>
        <v>0</v>
      </c>
      <c r="R100">
        <f>'Formato 6 a)'!D108</f>
        <v>570000</v>
      </c>
      <c r="S100">
        <f>'Formato 6 a)'!E108</f>
        <v>14488.4</v>
      </c>
      <c r="T100">
        <f>'Formato 6 a)'!F108</f>
        <v>14488.4</v>
      </c>
      <c r="U100">
        <f>'Formato 6 a)'!G108</f>
        <v>555511.6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4000000</v>
      </c>
      <c r="Q105">
        <f>'Formato 6 a)'!C113</f>
        <v>11099393.210000001</v>
      </c>
      <c r="R105">
        <f>'Formato 6 a)'!D113</f>
        <v>15099393.210000001</v>
      </c>
      <c r="S105">
        <f>'Formato 6 a)'!E113</f>
        <v>3590807.55</v>
      </c>
      <c r="T105">
        <f>'Formato 6 a)'!F113</f>
        <v>3590807.55</v>
      </c>
      <c r="U105">
        <f>'Formato 6 a)'!G113</f>
        <v>11508585.66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4000000</v>
      </c>
      <c r="Q108">
        <f>'Formato 6 a)'!C116</f>
        <v>0</v>
      </c>
      <c r="R108">
        <f>'Formato 6 a)'!D116</f>
        <v>4000000</v>
      </c>
      <c r="S108">
        <f>'Formato 6 a)'!E116</f>
        <v>1864620.95</v>
      </c>
      <c r="T108">
        <f>'Formato 6 a)'!F116</f>
        <v>1864620.95</v>
      </c>
      <c r="U108">
        <f>'Formato 6 a)'!G116</f>
        <v>2135379.0499999998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11099393.210000001</v>
      </c>
      <c r="R109">
        <f>'Formato 6 a)'!D117</f>
        <v>11099393.210000001</v>
      </c>
      <c r="S109">
        <f>'Formato 6 a)'!E117</f>
        <v>1726186.6</v>
      </c>
      <c r="T109">
        <f>'Formato 6 a)'!F117</f>
        <v>1726186.6</v>
      </c>
      <c r="U109">
        <f>'Formato 6 a)'!G117</f>
        <v>9373206.6100000013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25147212.420000002</v>
      </c>
      <c r="R125">
        <f>'Formato 6 a)'!D133</f>
        <v>25147212.420000002</v>
      </c>
      <c r="S125">
        <f>'Formato 6 a)'!E133</f>
        <v>4308618.88</v>
      </c>
      <c r="T125">
        <f>'Formato 6 a)'!F133</f>
        <v>4308618.88</v>
      </c>
      <c r="U125">
        <f>'Formato 6 a)'!G133</f>
        <v>20838593.540000003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25147212.420000002</v>
      </c>
      <c r="R126">
        <f>'Formato 6 a)'!D134</f>
        <v>25147212.420000002</v>
      </c>
      <c r="S126">
        <f>'Formato 6 a)'!E134</f>
        <v>4308618.88</v>
      </c>
      <c r="T126">
        <f>'Formato 6 a)'!F134</f>
        <v>4308618.88</v>
      </c>
      <c r="U126">
        <f>'Formato 6 a)'!G134</f>
        <v>20838593.540000003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25983857.140000001</v>
      </c>
      <c r="Q129">
        <f>'Formato 6 a)'!C137</f>
        <v>-10174477.74</v>
      </c>
      <c r="R129">
        <f>'Formato 6 a)'!D137</f>
        <v>15809379.4</v>
      </c>
      <c r="S129">
        <f>'Formato 6 a)'!E137</f>
        <v>0</v>
      </c>
      <c r="T129">
        <f>'Formato 6 a)'!F137</f>
        <v>0</v>
      </c>
      <c r="U129">
        <f>'Formato 6 a)'!G137</f>
        <v>15809379.4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25983857.140000001</v>
      </c>
      <c r="Q137">
        <f>'Formato 6 a)'!C145</f>
        <v>-10174477.74</v>
      </c>
      <c r="R137">
        <f>'Formato 6 a)'!D145</f>
        <v>15809379.4</v>
      </c>
      <c r="S137">
        <f>'Formato 6 a)'!E145</f>
        <v>0</v>
      </c>
      <c r="T137">
        <f>'Formato 6 a)'!F145</f>
        <v>0</v>
      </c>
      <c r="U137">
        <f>'Formato 6 a)'!G145</f>
        <v>15809379.4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94673000</v>
      </c>
      <c r="Q150">
        <f>'Formato 6 a)'!C159</f>
        <v>33326569.589999996</v>
      </c>
      <c r="R150">
        <f>'Formato 6 a)'!D159</f>
        <v>127999569.59</v>
      </c>
      <c r="S150">
        <f>'Formato 6 a)'!E159</f>
        <v>33203018.989999998</v>
      </c>
      <c r="T150">
        <f>'Formato 6 a)'!F159</f>
        <v>33203018.989999998</v>
      </c>
      <c r="U150">
        <f>'Formato 6 a)'!G159</f>
        <v>94796550.599999994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80" zoomScaleNormal="80" workbookViewId="0">
      <selection activeCell="A26" sqref="A26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4" t="s">
        <v>3290</v>
      </c>
      <c r="B1" s="184"/>
      <c r="C1" s="184"/>
      <c r="D1" s="184"/>
      <c r="E1" s="184"/>
      <c r="F1" s="184"/>
      <c r="G1" s="184"/>
    </row>
    <row r="2" spans="1:7" ht="14.25" x14ac:dyDescent="0.45">
      <c r="A2" s="165" t="str">
        <f>ENTE_PUBLICO_A</f>
        <v>MUNICIPIO DE TIERRA BLANCA,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277</v>
      </c>
      <c r="B3" s="169"/>
      <c r="C3" s="169"/>
      <c r="D3" s="169"/>
      <c r="E3" s="169"/>
      <c r="F3" s="169"/>
      <c r="G3" s="170"/>
    </row>
    <row r="4" spans="1:7" x14ac:dyDescent="0.25">
      <c r="A4" s="168" t="s">
        <v>431</v>
      </c>
      <c r="B4" s="169"/>
      <c r="C4" s="169"/>
      <c r="D4" s="169"/>
      <c r="E4" s="169"/>
      <c r="F4" s="169"/>
      <c r="G4" s="170"/>
    </row>
    <row r="5" spans="1:7" ht="14.25" x14ac:dyDescent="0.45">
      <c r="A5" s="171" t="str">
        <f>TRIMESTRE</f>
        <v>Del 1 de enero al 30 de junio de 2021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0</v>
      </c>
      <c r="B7" s="182" t="s">
        <v>279</v>
      </c>
      <c r="C7" s="182"/>
      <c r="D7" s="182"/>
      <c r="E7" s="182"/>
      <c r="F7" s="182"/>
      <c r="G7" s="186" t="s">
        <v>280</v>
      </c>
    </row>
    <row r="8" spans="1:7" ht="30" x14ac:dyDescent="0.25">
      <c r="A8" s="181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5"/>
    </row>
    <row r="9" spans="1:7" ht="14.25" x14ac:dyDescent="0.45">
      <c r="A9" s="52" t="s">
        <v>440</v>
      </c>
      <c r="B9" s="59">
        <f>SUM(B10:GASTO_NE_FIN_01)</f>
        <v>55673000</v>
      </c>
      <c r="C9" s="59">
        <f>SUM(C10:GASTO_NE_FIN_02)</f>
        <v>7266745.1100000003</v>
      </c>
      <c r="D9" s="59">
        <f>SUM(D10:GASTO_NE_FIN_03)</f>
        <v>62939745.109999999</v>
      </c>
      <c r="E9" s="59">
        <f>SUM(E10:GASTO_NE_FIN_04)</f>
        <v>22084318.109999999</v>
      </c>
      <c r="F9" s="59">
        <f>SUM(F10:GASTO_NE_FIN_05)</f>
        <v>22084318.109999999</v>
      </c>
      <c r="G9" s="59">
        <f>SUM(G10:GASTO_NE_FIN_06)</f>
        <v>40855427</v>
      </c>
    </row>
    <row r="10" spans="1:7" s="24" customFormat="1" x14ac:dyDescent="0.25">
      <c r="A10" s="143" t="s">
        <v>432</v>
      </c>
      <c r="B10" s="153">
        <v>55673000</v>
      </c>
      <c r="C10" s="153">
        <v>0</v>
      </c>
      <c r="D10" s="154">
        <f>B10+C10</f>
        <v>55673000</v>
      </c>
      <c r="E10" s="153">
        <v>22084318.109999999</v>
      </c>
      <c r="F10" s="153">
        <v>22084318.109999999</v>
      </c>
      <c r="G10" s="77">
        <f>D10-E10</f>
        <v>33588681.890000001</v>
      </c>
    </row>
    <row r="11" spans="1:7" s="24" customFormat="1" x14ac:dyDescent="0.25">
      <c r="A11" s="143" t="s">
        <v>433</v>
      </c>
      <c r="B11" s="153">
        <v>0</v>
      </c>
      <c r="C11" s="153">
        <v>7266745.1100000003</v>
      </c>
      <c r="D11" s="154">
        <f t="shared" ref="D11" si="0">B11+C11</f>
        <v>7266745.1100000003</v>
      </c>
      <c r="E11" s="153">
        <v>0</v>
      </c>
      <c r="F11" s="153">
        <v>0</v>
      </c>
      <c r="G11" s="77">
        <f t="shared" ref="G11:G17" si="1">D11-E11</f>
        <v>7266745.1100000003</v>
      </c>
    </row>
    <row r="12" spans="1:7" s="24" customFormat="1" ht="14.25" x14ac:dyDescent="0.45">
      <c r="A12" s="143" t="s">
        <v>434</v>
      </c>
      <c r="B12" s="60"/>
      <c r="C12" s="60"/>
      <c r="D12" s="60"/>
      <c r="E12" s="60"/>
      <c r="F12" s="60"/>
      <c r="G12" s="77">
        <f t="shared" si="1"/>
        <v>0</v>
      </c>
    </row>
    <row r="13" spans="1:7" s="24" customFormat="1" ht="14.25" x14ac:dyDescent="0.45">
      <c r="A13" s="143" t="s">
        <v>435</v>
      </c>
      <c r="B13" s="60"/>
      <c r="C13" s="60"/>
      <c r="D13" s="60"/>
      <c r="E13" s="60"/>
      <c r="F13" s="60"/>
      <c r="G13" s="77">
        <f t="shared" si="1"/>
        <v>0</v>
      </c>
    </row>
    <row r="14" spans="1:7" s="24" customFormat="1" ht="14.25" x14ac:dyDescent="0.45">
      <c r="A14" s="143" t="s">
        <v>436</v>
      </c>
      <c r="B14" s="60"/>
      <c r="C14" s="60"/>
      <c r="D14" s="60"/>
      <c r="E14" s="60"/>
      <c r="F14" s="60"/>
      <c r="G14" s="77">
        <f t="shared" si="1"/>
        <v>0</v>
      </c>
    </row>
    <row r="15" spans="1:7" s="24" customFormat="1" ht="14.25" x14ac:dyDescent="0.45">
      <c r="A15" s="143" t="s">
        <v>437</v>
      </c>
      <c r="B15" s="60"/>
      <c r="C15" s="60"/>
      <c r="D15" s="60"/>
      <c r="E15" s="60"/>
      <c r="F15" s="60"/>
      <c r="G15" s="77">
        <f t="shared" si="1"/>
        <v>0</v>
      </c>
    </row>
    <row r="16" spans="1:7" s="24" customFormat="1" ht="14.25" x14ac:dyDescent="0.45">
      <c r="A16" s="143" t="s">
        <v>438</v>
      </c>
      <c r="B16" s="60"/>
      <c r="C16" s="60"/>
      <c r="D16" s="60"/>
      <c r="E16" s="60"/>
      <c r="F16" s="60"/>
      <c r="G16" s="77">
        <f t="shared" si="1"/>
        <v>0</v>
      </c>
    </row>
    <row r="17" spans="1:7" s="24" customFormat="1" ht="14.25" x14ac:dyDescent="0.45">
      <c r="A17" s="143" t="s">
        <v>439</v>
      </c>
      <c r="B17" s="60"/>
      <c r="C17" s="60"/>
      <c r="D17" s="60"/>
      <c r="E17" s="60"/>
      <c r="F17" s="60"/>
      <c r="G17" s="77">
        <f t="shared" si="1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39000000</v>
      </c>
      <c r="C19" s="61">
        <f>SUM(C20:GASTO_E_FIN_02)</f>
        <v>26059824.48</v>
      </c>
      <c r="D19" s="61">
        <f>SUM(D20:GASTO_E_FIN_03)</f>
        <v>65059824.480000004</v>
      </c>
      <c r="E19" s="61">
        <f>SUM(E20:GASTO_E_FIN_04)</f>
        <v>11118700.880000001</v>
      </c>
      <c r="F19" s="61">
        <f>SUM(F20:GASTO_E_FIN_05)</f>
        <v>22960</v>
      </c>
      <c r="G19" s="61">
        <f>SUM(G20:GASTO_E_FIN_06)</f>
        <v>53941123.600000001</v>
      </c>
    </row>
    <row r="20" spans="1:7" s="24" customFormat="1" x14ac:dyDescent="0.25">
      <c r="A20" s="143" t="s">
        <v>432</v>
      </c>
      <c r="B20" s="153">
        <v>39000000</v>
      </c>
      <c r="C20" s="153">
        <v>26059824.48</v>
      </c>
      <c r="D20" s="154">
        <f t="shared" ref="D20" si="2">B20+C20</f>
        <v>65059824.480000004</v>
      </c>
      <c r="E20" s="153">
        <v>11118700.880000001</v>
      </c>
      <c r="F20" s="153">
        <v>22960</v>
      </c>
      <c r="G20" s="60">
        <f>D20-E20</f>
        <v>53941123.600000001</v>
      </c>
    </row>
    <row r="21" spans="1:7" s="24" customFormat="1" x14ac:dyDescent="0.25">
      <c r="A21" s="143" t="s">
        <v>433</v>
      </c>
      <c r="B21" s="60"/>
      <c r="C21" s="60"/>
      <c r="D21" s="60"/>
      <c r="E21" s="60"/>
      <c r="F21" s="60"/>
      <c r="G21" s="60">
        <f t="shared" ref="G21:G27" si="3">D21-E21</f>
        <v>0</v>
      </c>
    </row>
    <row r="22" spans="1:7" s="24" customFormat="1" x14ac:dyDescent="0.25">
      <c r="A22" s="143" t="s">
        <v>434</v>
      </c>
      <c r="B22" s="60"/>
      <c r="C22" s="60"/>
      <c r="D22" s="60"/>
      <c r="E22" s="60"/>
      <c r="F22" s="60"/>
      <c r="G22" s="60">
        <f t="shared" si="3"/>
        <v>0</v>
      </c>
    </row>
    <row r="23" spans="1:7" s="24" customFormat="1" x14ac:dyDescent="0.25">
      <c r="A23" s="143" t="s">
        <v>435</v>
      </c>
      <c r="B23" s="60"/>
      <c r="C23" s="60"/>
      <c r="D23" s="60"/>
      <c r="E23" s="60"/>
      <c r="F23" s="60"/>
      <c r="G23" s="60">
        <f t="shared" si="3"/>
        <v>0</v>
      </c>
    </row>
    <row r="24" spans="1:7" s="24" customFormat="1" x14ac:dyDescent="0.25">
      <c r="A24" s="143" t="s">
        <v>436</v>
      </c>
      <c r="B24" s="60"/>
      <c r="C24" s="60"/>
      <c r="D24" s="60"/>
      <c r="E24" s="60"/>
      <c r="F24" s="60"/>
      <c r="G24" s="60">
        <f t="shared" si="3"/>
        <v>0</v>
      </c>
    </row>
    <row r="25" spans="1:7" s="24" customFormat="1" x14ac:dyDescent="0.25">
      <c r="A25" s="143" t="s">
        <v>437</v>
      </c>
      <c r="B25" s="60"/>
      <c r="C25" s="60"/>
      <c r="D25" s="60"/>
      <c r="E25" s="60"/>
      <c r="F25" s="60"/>
      <c r="G25" s="60">
        <f t="shared" si="3"/>
        <v>0</v>
      </c>
    </row>
    <row r="26" spans="1:7" s="24" customFormat="1" x14ac:dyDescent="0.25">
      <c r="A26" s="143" t="s">
        <v>438</v>
      </c>
      <c r="B26" s="60"/>
      <c r="C26" s="60"/>
      <c r="D26" s="60"/>
      <c r="E26" s="60"/>
      <c r="F26" s="60"/>
      <c r="G26" s="60">
        <f t="shared" si="3"/>
        <v>0</v>
      </c>
    </row>
    <row r="27" spans="1:7" s="24" customFormat="1" x14ac:dyDescent="0.25">
      <c r="A27" s="143" t="s">
        <v>439</v>
      </c>
      <c r="B27" s="60"/>
      <c r="C27" s="60"/>
      <c r="D27" s="60"/>
      <c r="E27" s="60"/>
      <c r="F27" s="60"/>
      <c r="G27" s="60">
        <f t="shared" si="3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94673000</v>
      </c>
      <c r="C29" s="61">
        <f>GASTO_NE_T2+GASTO_E_T2</f>
        <v>33326569.59</v>
      </c>
      <c r="D29" s="61">
        <f>GASTO_NE_T3+GASTO_E_T3</f>
        <v>127999569.59</v>
      </c>
      <c r="E29" s="61">
        <f>GASTO_NE_T4+GASTO_E_T4</f>
        <v>33203018.990000002</v>
      </c>
      <c r="F29" s="61">
        <f>GASTO_NE_T5+GASTO_E_T5</f>
        <v>22107278.109999999</v>
      </c>
      <c r="G29" s="61">
        <f>GASTO_NE_T6+GASTO_E_T6</f>
        <v>94796550.599999994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55673000</v>
      </c>
      <c r="Q2" s="18">
        <f>GASTO_NE_T2</f>
        <v>7266745.1100000003</v>
      </c>
      <c r="R2" s="18">
        <f>GASTO_NE_T3</f>
        <v>62939745.109999999</v>
      </c>
      <c r="S2" s="18">
        <f>GASTO_NE_T4</f>
        <v>22084318.109999999</v>
      </c>
      <c r="T2" s="18">
        <f>GASTO_NE_T5</f>
        <v>22084318.109999999</v>
      </c>
      <c r="U2" s="18">
        <f>GASTO_NE_T6</f>
        <v>40855427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39000000</v>
      </c>
      <c r="Q3" s="18">
        <f>GASTO_E_T2</f>
        <v>26059824.48</v>
      </c>
      <c r="R3" s="18">
        <f>GASTO_E_T3</f>
        <v>65059824.480000004</v>
      </c>
      <c r="S3" s="18">
        <f>GASTO_E_T4</f>
        <v>11118700.880000001</v>
      </c>
      <c r="T3" s="18">
        <f>GASTO_E_T5</f>
        <v>22960</v>
      </c>
      <c r="U3" s="18">
        <f>GASTO_E_T6</f>
        <v>53941123.600000001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94673000</v>
      </c>
      <c r="Q4" s="18">
        <f>TOTAL_E_T2</f>
        <v>33326569.59</v>
      </c>
      <c r="R4" s="18">
        <f>TOTAL_E_T3</f>
        <v>127999569.59</v>
      </c>
      <c r="S4" s="18">
        <f>TOTAL_E_T4</f>
        <v>33203018.990000002</v>
      </c>
      <c r="T4" s="18">
        <f>TOTAL_E_T5</f>
        <v>22107278.109999999</v>
      </c>
      <c r="U4" s="18">
        <f>TOTAL_E_T6</f>
        <v>94796550.599999994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73" zoomScale="70" zoomScaleNormal="70" workbookViewId="0">
      <selection activeCell="E40" sqref="E40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0" t="s">
        <v>3289</v>
      </c>
      <c r="B1" s="191"/>
      <c r="C1" s="191"/>
      <c r="D1" s="191"/>
      <c r="E1" s="191"/>
      <c r="F1" s="191"/>
      <c r="G1" s="191"/>
    </row>
    <row r="2" spans="1:7" ht="14.25" x14ac:dyDescent="0.45">
      <c r="A2" s="165" t="str">
        <f>ENTE_PUBLICO_A</f>
        <v>MUNICIPIO DE TIERRA BLANCA,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396</v>
      </c>
      <c r="B3" s="169"/>
      <c r="C3" s="169"/>
      <c r="D3" s="169"/>
      <c r="E3" s="169"/>
      <c r="F3" s="169"/>
      <c r="G3" s="170"/>
    </row>
    <row r="4" spans="1:7" x14ac:dyDescent="0.25">
      <c r="A4" s="168" t="s">
        <v>397</v>
      </c>
      <c r="B4" s="169"/>
      <c r="C4" s="169"/>
      <c r="D4" s="169"/>
      <c r="E4" s="169"/>
      <c r="F4" s="169"/>
      <c r="G4" s="170"/>
    </row>
    <row r="5" spans="1:7" ht="14.25" x14ac:dyDescent="0.45">
      <c r="A5" s="171" t="str">
        <f>TRIMESTRE</f>
        <v>Del 1 de enero al 30 de junio de 2021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69" t="s">
        <v>0</v>
      </c>
      <c r="B7" s="174" t="s">
        <v>279</v>
      </c>
      <c r="C7" s="175"/>
      <c r="D7" s="175"/>
      <c r="E7" s="175"/>
      <c r="F7" s="176"/>
      <c r="G7" s="186" t="s">
        <v>3286</v>
      </c>
    </row>
    <row r="8" spans="1:7" ht="30.75" customHeight="1" x14ac:dyDescent="0.25">
      <c r="A8" s="169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5"/>
    </row>
    <row r="9" spans="1:7" ht="14.25" x14ac:dyDescent="0.45">
      <c r="A9" s="52" t="s">
        <v>363</v>
      </c>
      <c r="B9" s="70">
        <f>SUM(B10,B19,B27,B37)</f>
        <v>55673000</v>
      </c>
      <c r="C9" s="70">
        <f t="shared" ref="C9:G9" si="0">SUM(C10,C19,C27,C37)</f>
        <v>7266745.1100000003</v>
      </c>
      <c r="D9" s="70">
        <f t="shared" si="0"/>
        <v>62939745.110000007</v>
      </c>
      <c r="E9" s="70">
        <f t="shared" si="0"/>
        <v>22084318.109999999</v>
      </c>
      <c r="F9" s="70">
        <f t="shared" si="0"/>
        <v>22084318.109999999</v>
      </c>
      <c r="G9" s="70">
        <f t="shared" si="0"/>
        <v>40855427</v>
      </c>
    </row>
    <row r="10" spans="1:7" ht="14.25" x14ac:dyDescent="0.45">
      <c r="A10" s="53" t="s">
        <v>364</v>
      </c>
      <c r="B10" s="71">
        <f>SUM(B11:B18)</f>
        <v>33175335.52</v>
      </c>
      <c r="C10" s="71">
        <f t="shared" ref="C10:F10" si="1">SUM(C11:C18)</f>
        <v>3873052.9899999998</v>
      </c>
      <c r="D10" s="71">
        <f t="shared" si="1"/>
        <v>37048388.509999998</v>
      </c>
      <c r="E10" s="71">
        <f t="shared" si="1"/>
        <v>11806159.280000001</v>
      </c>
      <c r="F10" s="71">
        <f t="shared" si="1"/>
        <v>11806159.280000001</v>
      </c>
      <c r="G10" s="71">
        <f>SUM(G11:G18)</f>
        <v>25242229.229999997</v>
      </c>
    </row>
    <row r="11" spans="1:7" x14ac:dyDescent="0.25">
      <c r="A11" s="63" t="s">
        <v>365</v>
      </c>
      <c r="B11" s="157">
        <v>6965877.6299999999</v>
      </c>
      <c r="C11" s="157">
        <v>-111665.38</v>
      </c>
      <c r="D11" s="158">
        <f>B11+C11</f>
        <v>6854212.25</v>
      </c>
      <c r="E11" s="157">
        <v>2817428.31</v>
      </c>
      <c r="F11" s="157">
        <v>2817428.31</v>
      </c>
      <c r="G11" s="72">
        <f>D11-E11</f>
        <v>4036783.94</v>
      </c>
    </row>
    <row r="12" spans="1:7" x14ac:dyDescent="0.25">
      <c r="A12" s="63" t="s">
        <v>366</v>
      </c>
      <c r="B12" s="158"/>
      <c r="C12" s="158"/>
      <c r="D12" s="158">
        <f t="shared" ref="D12:D18" si="2">B12+C12</f>
        <v>0</v>
      </c>
      <c r="E12" s="158"/>
      <c r="F12" s="158"/>
      <c r="G12" s="72">
        <f t="shared" ref="G12:G18" si="3">D12-E12</f>
        <v>0</v>
      </c>
    </row>
    <row r="13" spans="1:7" x14ac:dyDescent="0.25">
      <c r="A13" s="63" t="s">
        <v>367</v>
      </c>
      <c r="B13" s="157">
        <v>12815213.449999999</v>
      </c>
      <c r="C13" s="157">
        <v>1628784.38</v>
      </c>
      <c r="D13" s="158">
        <f t="shared" si="2"/>
        <v>14443997.829999998</v>
      </c>
      <c r="E13" s="157">
        <v>4522938.08</v>
      </c>
      <c r="F13" s="157">
        <v>4522938.08</v>
      </c>
      <c r="G13" s="72">
        <f t="shared" si="3"/>
        <v>9921059.7499999981</v>
      </c>
    </row>
    <row r="14" spans="1:7" x14ac:dyDescent="0.25">
      <c r="A14" s="63" t="s">
        <v>368</v>
      </c>
      <c r="B14" s="158"/>
      <c r="C14" s="158"/>
      <c r="D14" s="158">
        <f t="shared" si="2"/>
        <v>0</v>
      </c>
      <c r="E14" s="158"/>
      <c r="F14" s="158"/>
      <c r="G14" s="72">
        <f t="shared" si="3"/>
        <v>0</v>
      </c>
    </row>
    <row r="15" spans="1:7" x14ac:dyDescent="0.25">
      <c r="A15" s="63" t="s">
        <v>369</v>
      </c>
      <c r="B15" s="157">
        <v>6914097.7699999996</v>
      </c>
      <c r="C15" s="157">
        <v>2453613.8199999998</v>
      </c>
      <c r="D15" s="158">
        <f t="shared" si="2"/>
        <v>9367711.5899999999</v>
      </c>
      <c r="E15" s="157">
        <v>2263927.25</v>
      </c>
      <c r="F15" s="157">
        <v>2263927.25</v>
      </c>
      <c r="G15" s="72">
        <f t="shared" si="3"/>
        <v>7103784.3399999999</v>
      </c>
    </row>
    <row r="16" spans="1:7" x14ac:dyDescent="0.25">
      <c r="A16" s="63" t="s">
        <v>370</v>
      </c>
      <c r="B16" s="158"/>
      <c r="C16" s="158"/>
      <c r="D16" s="158">
        <f t="shared" si="2"/>
        <v>0</v>
      </c>
      <c r="E16" s="158"/>
      <c r="F16" s="158"/>
      <c r="G16" s="72">
        <f t="shared" si="3"/>
        <v>0</v>
      </c>
    </row>
    <row r="17" spans="1:7" x14ac:dyDescent="0.25">
      <c r="A17" s="63" t="s">
        <v>371</v>
      </c>
      <c r="B17" s="157">
        <v>2453762.1</v>
      </c>
      <c r="C17" s="157">
        <v>-15352.04</v>
      </c>
      <c r="D17" s="158">
        <f t="shared" si="2"/>
        <v>2438410.06</v>
      </c>
      <c r="E17" s="157">
        <v>751183.21</v>
      </c>
      <c r="F17" s="157">
        <v>751183.21</v>
      </c>
      <c r="G17" s="72">
        <f t="shared" si="3"/>
        <v>1687226.85</v>
      </c>
    </row>
    <row r="18" spans="1:7" x14ac:dyDescent="0.25">
      <c r="A18" s="63" t="s">
        <v>372</v>
      </c>
      <c r="B18" s="157">
        <v>4026384.57</v>
      </c>
      <c r="C18" s="157">
        <v>-82327.789999999994</v>
      </c>
      <c r="D18" s="158">
        <f t="shared" si="2"/>
        <v>3944056.78</v>
      </c>
      <c r="E18" s="157">
        <v>1450682.43</v>
      </c>
      <c r="F18" s="157">
        <v>1450682.43</v>
      </c>
      <c r="G18" s="72">
        <f t="shared" si="3"/>
        <v>2493374.3499999996</v>
      </c>
    </row>
    <row r="19" spans="1:7" ht="14.25" x14ac:dyDescent="0.45">
      <c r="A19" s="53" t="s">
        <v>373</v>
      </c>
      <c r="B19" s="71">
        <f>SUM(B20:B26)</f>
        <v>21221027.220000003</v>
      </c>
      <c r="C19" s="71">
        <f t="shared" ref="C19:F19" si="4">SUM(C20:C26)</f>
        <v>2643107.5</v>
      </c>
      <c r="D19" s="71">
        <f t="shared" si="4"/>
        <v>23864134.720000003</v>
      </c>
      <c r="E19" s="71">
        <f t="shared" si="4"/>
        <v>9854852.3299999982</v>
      </c>
      <c r="F19" s="71">
        <f t="shared" si="4"/>
        <v>9854852.3299999982</v>
      </c>
      <c r="G19" s="71">
        <f>SUM(G20:G26)</f>
        <v>14009282.390000002</v>
      </c>
    </row>
    <row r="20" spans="1:7" x14ac:dyDescent="0.25">
      <c r="A20" s="63" t="s">
        <v>374</v>
      </c>
      <c r="B20" s="157">
        <v>733632.3</v>
      </c>
      <c r="C20" s="157">
        <v>-11955.04</v>
      </c>
      <c r="D20" s="158">
        <f t="shared" ref="D20:D26" si="5">B20+C20</f>
        <v>721677.26</v>
      </c>
      <c r="E20" s="157">
        <v>267105.57</v>
      </c>
      <c r="F20" s="157">
        <v>267105.57</v>
      </c>
      <c r="G20" s="72">
        <f>D20-E20</f>
        <v>454571.69</v>
      </c>
    </row>
    <row r="21" spans="1:7" x14ac:dyDescent="0.25">
      <c r="A21" s="63" t="s">
        <v>375</v>
      </c>
      <c r="B21" s="157">
        <v>13076184.34</v>
      </c>
      <c r="C21" s="157">
        <v>2437778.56</v>
      </c>
      <c r="D21" s="158">
        <f t="shared" si="5"/>
        <v>15513962.9</v>
      </c>
      <c r="E21" s="157">
        <v>7123228.3899999997</v>
      </c>
      <c r="F21" s="157">
        <v>7123228.3899999997</v>
      </c>
      <c r="G21" s="72">
        <f t="shared" ref="G21:G26" si="6">D21-E21</f>
        <v>8390734.5100000016</v>
      </c>
    </row>
    <row r="22" spans="1:7" x14ac:dyDescent="0.25">
      <c r="A22" s="63" t="s">
        <v>376</v>
      </c>
      <c r="B22" s="157">
        <v>200000</v>
      </c>
      <c r="C22" s="157">
        <v>-2201.25</v>
      </c>
      <c r="D22" s="158">
        <f t="shared" si="5"/>
        <v>197798.75</v>
      </c>
      <c r="E22" s="157">
        <v>5104</v>
      </c>
      <c r="F22" s="157">
        <v>5104</v>
      </c>
      <c r="G22" s="72">
        <f t="shared" si="6"/>
        <v>192694.75</v>
      </c>
    </row>
    <row r="23" spans="1:7" x14ac:dyDescent="0.25">
      <c r="A23" s="63" t="s">
        <v>377</v>
      </c>
      <c r="B23" s="157">
        <v>3830437.85</v>
      </c>
      <c r="C23" s="157">
        <v>211829.15</v>
      </c>
      <c r="D23" s="158">
        <f t="shared" si="5"/>
        <v>4042267</v>
      </c>
      <c r="E23" s="157">
        <v>709126.75</v>
      </c>
      <c r="F23" s="157">
        <v>709126.75</v>
      </c>
      <c r="G23" s="72">
        <f t="shared" si="6"/>
        <v>3333140.25</v>
      </c>
    </row>
    <row r="24" spans="1:7" x14ac:dyDescent="0.25">
      <c r="A24" s="63" t="s">
        <v>378</v>
      </c>
      <c r="B24" s="157">
        <v>1517290.88</v>
      </c>
      <c r="C24" s="157">
        <v>11280.08</v>
      </c>
      <c r="D24" s="158">
        <f t="shared" si="5"/>
        <v>1528570.96</v>
      </c>
      <c r="E24" s="157">
        <v>553139.49</v>
      </c>
      <c r="F24" s="157">
        <v>553139.49</v>
      </c>
      <c r="G24" s="72">
        <f t="shared" si="6"/>
        <v>975431.47</v>
      </c>
    </row>
    <row r="25" spans="1:7" x14ac:dyDescent="0.25">
      <c r="A25" s="63" t="s">
        <v>379</v>
      </c>
      <c r="B25" s="157">
        <v>1863481.85</v>
      </c>
      <c r="C25" s="157">
        <v>-3624</v>
      </c>
      <c r="D25" s="158">
        <f t="shared" si="5"/>
        <v>1859857.85</v>
      </c>
      <c r="E25" s="157">
        <v>1197148.1299999999</v>
      </c>
      <c r="F25" s="157">
        <v>1197148.1299999999</v>
      </c>
      <c r="G25" s="72">
        <f t="shared" si="6"/>
        <v>662709.7200000002</v>
      </c>
    </row>
    <row r="26" spans="1:7" x14ac:dyDescent="0.25">
      <c r="A26" s="63" t="s">
        <v>380</v>
      </c>
      <c r="B26" s="158"/>
      <c r="C26" s="158"/>
      <c r="D26" s="158">
        <f t="shared" si="5"/>
        <v>0</v>
      </c>
      <c r="E26" s="158"/>
      <c r="F26" s="158"/>
      <c r="G26" s="72">
        <f t="shared" si="6"/>
        <v>0</v>
      </c>
    </row>
    <row r="27" spans="1:7" x14ac:dyDescent="0.25">
      <c r="A27" s="53" t="s">
        <v>381</v>
      </c>
      <c r="B27" s="71">
        <f>SUM(B28:B36)</f>
        <v>1276637.26</v>
      </c>
      <c r="C27" s="71">
        <f t="shared" ref="C27:F27" si="7">SUM(C28:C36)</f>
        <v>750584.62000000011</v>
      </c>
      <c r="D27" s="71">
        <f t="shared" si="7"/>
        <v>2027221.88</v>
      </c>
      <c r="E27" s="71">
        <f t="shared" si="7"/>
        <v>423306.5</v>
      </c>
      <c r="F27" s="71">
        <f t="shared" si="7"/>
        <v>423306.5</v>
      </c>
      <c r="G27" s="71">
        <f>SUM(G28:G36)</f>
        <v>1603915.38</v>
      </c>
    </row>
    <row r="28" spans="1:7" x14ac:dyDescent="0.25">
      <c r="A28" s="69" t="s">
        <v>382</v>
      </c>
      <c r="B28" s="157">
        <v>332720.25</v>
      </c>
      <c r="C28" s="157">
        <v>-19037.689999999999</v>
      </c>
      <c r="D28" s="158">
        <f t="shared" ref="D28:D36" si="8">B28+C28</f>
        <v>313682.56</v>
      </c>
      <c r="E28" s="157">
        <v>98870.3</v>
      </c>
      <c r="F28" s="157">
        <v>98870.3</v>
      </c>
      <c r="G28" s="72">
        <f>D28-E28</f>
        <v>214812.26</v>
      </c>
    </row>
    <row r="29" spans="1:7" x14ac:dyDescent="0.25">
      <c r="A29" s="63" t="s">
        <v>383</v>
      </c>
      <c r="B29" s="157">
        <v>551767.63</v>
      </c>
      <c r="C29" s="157">
        <v>735361.79</v>
      </c>
      <c r="D29" s="158">
        <f t="shared" si="8"/>
        <v>1287129.42</v>
      </c>
      <c r="E29" s="157">
        <v>191242.57</v>
      </c>
      <c r="F29" s="157">
        <v>191242.57</v>
      </c>
      <c r="G29" s="72">
        <f t="shared" ref="G29:G36" si="9">D29-E29</f>
        <v>1095886.8499999999</v>
      </c>
    </row>
    <row r="30" spans="1:7" x14ac:dyDescent="0.25">
      <c r="A30" s="63" t="s">
        <v>384</v>
      </c>
      <c r="B30" s="158"/>
      <c r="C30" s="158"/>
      <c r="D30" s="158">
        <f t="shared" si="8"/>
        <v>0</v>
      </c>
      <c r="E30" s="158"/>
      <c r="F30" s="158"/>
      <c r="G30" s="72">
        <f t="shared" si="9"/>
        <v>0</v>
      </c>
    </row>
    <row r="31" spans="1:7" x14ac:dyDescent="0.25">
      <c r="A31" s="63" t="s">
        <v>385</v>
      </c>
      <c r="B31" s="158"/>
      <c r="C31" s="158"/>
      <c r="D31" s="158">
        <f t="shared" si="8"/>
        <v>0</v>
      </c>
      <c r="E31" s="158"/>
      <c r="F31" s="158"/>
      <c r="G31" s="72">
        <f t="shared" si="9"/>
        <v>0</v>
      </c>
    </row>
    <row r="32" spans="1:7" x14ac:dyDescent="0.25">
      <c r="A32" s="63" t="s">
        <v>386</v>
      </c>
      <c r="B32" s="158"/>
      <c r="C32" s="158"/>
      <c r="D32" s="158">
        <f t="shared" si="8"/>
        <v>0</v>
      </c>
      <c r="E32" s="158"/>
      <c r="F32" s="158"/>
      <c r="G32" s="72">
        <f t="shared" si="9"/>
        <v>0</v>
      </c>
    </row>
    <row r="33" spans="1:7" x14ac:dyDescent="0.25">
      <c r="A33" s="63" t="s">
        <v>387</v>
      </c>
      <c r="B33" s="158"/>
      <c r="C33" s="158"/>
      <c r="D33" s="158">
        <f t="shared" si="8"/>
        <v>0</v>
      </c>
      <c r="E33" s="158"/>
      <c r="F33" s="158"/>
      <c r="G33" s="72">
        <f t="shared" si="9"/>
        <v>0</v>
      </c>
    </row>
    <row r="34" spans="1:7" x14ac:dyDescent="0.25">
      <c r="A34" s="63" t="s">
        <v>388</v>
      </c>
      <c r="B34" s="157">
        <v>392149.38</v>
      </c>
      <c r="C34" s="157">
        <v>34260.519999999997</v>
      </c>
      <c r="D34" s="158">
        <f t="shared" si="8"/>
        <v>426409.9</v>
      </c>
      <c r="E34" s="157">
        <v>133193.63</v>
      </c>
      <c r="F34" s="157">
        <v>133193.63</v>
      </c>
      <c r="G34" s="72">
        <f t="shared" si="9"/>
        <v>293216.27</v>
      </c>
    </row>
    <row r="35" spans="1:7" x14ac:dyDescent="0.25">
      <c r="A35" s="63" t="s">
        <v>389</v>
      </c>
      <c r="B35" s="158"/>
      <c r="C35" s="158"/>
      <c r="D35" s="158">
        <f t="shared" si="8"/>
        <v>0</v>
      </c>
      <c r="E35" s="158"/>
      <c r="F35" s="158"/>
      <c r="G35" s="72">
        <f t="shared" si="9"/>
        <v>0</v>
      </c>
    </row>
    <row r="36" spans="1:7" x14ac:dyDescent="0.25">
      <c r="A36" s="63" t="s">
        <v>390</v>
      </c>
      <c r="B36" s="158"/>
      <c r="C36" s="158"/>
      <c r="D36" s="158">
        <f t="shared" si="8"/>
        <v>0</v>
      </c>
      <c r="E36" s="158"/>
      <c r="F36" s="158"/>
      <c r="G36" s="72">
        <f t="shared" si="9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11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11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11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39000000</v>
      </c>
      <c r="C43" s="73">
        <f t="shared" ref="C43:G43" si="12">SUM(C44,C53,C61,C71)</f>
        <v>26059824.48</v>
      </c>
      <c r="D43" s="73">
        <f t="shared" si="12"/>
        <v>65059824.480000004</v>
      </c>
      <c r="E43" s="73">
        <f t="shared" si="12"/>
        <v>11118700.880000001</v>
      </c>
      <c r="F43" s="73">
        <f t="shared" si="12"/>
        <v>11118700.880000001</v>
      </c>
      <c r="G43" s="73">
        <f t="shared" si="12"/>
        <v>53941123.600000009</v>
      </c>
    </row>
    <row r="44" spans="1:7" x14ac:dyDescent="0.25">
      <c r="A44" s="53" t="s">
        <v>430</v>
      </c>
      <c r="B44" s="72">
        <f>SUM(B45:B52)</f>
        <v>8856000</v>
      </c>
      <c r="C44" s="72">
        <f t="shared" ref="C44:G44" si="13">SUM(C45:C52)</f>
        <v>-707633</v>
      </c>
      <c r="D44" s="72">
        <f t="shared" si="13"/>
        <v>8148367.0000000009</v>
      </c>
      <c r="E44" s="72">
        <f t="shared" si="13"/>
        <v>3041500.23</v>
      </c>
      <c r="F44" s="72">
        <f t="shared" si="13"/>
        <v>3041500.23</v>
      </c>
      <c r="G44" s="72">
        <f t="shared" si="13"/>
        <v>5106866.7700000005</v>
      </c>
    </row>
    <row r="45" spans="1:7" x14ac:dyDescent="0.25">
      <c r="A45" s="69" t="s">
        <v>365</v>
      </c>
      <c r="B45" s="158"/>
      <c r="C45" s="158"/>
      <c r="D45" s="158">
        <f t="shared" ref="D45:D52" si="14">B45+C45</f>
        <v>0</v>
      </c>
      <c r="E45" s="158"/>
      <c r="F45" s="158"/>
      <c r="G45" s="72">
        <f>D45-E45</f>
        <v>0</v>
      </c>
    </row>
    <row r="46" spans="1:7" x14ac:dyDescent="0.25">
      <c r="A46" s="69" t="s">
        <v>366</v>
      </c>
      <c r="B46" s="158"/>
      <c r="C46" s="158"/>
      <c r="D46" s="158">
        <f t="shared" si="14"/>
        <v>0</v>
      </c>
      <c r="E46" s="158"/>
      <c r="F46" s="158"/>
      <c r="G46" s="72">
        <f t="shared" ref="G46:G52" si="15">D46-E46</f>
        <v>0</v>
      </c>
    </row>
    <row r="47" spans="1:7" x14ac:dyDescent="0.25">
      <c r="A47" s="69" t="s">
        <v>367</v>
      </c>
      <c r="B47" s="158"/>
      <c r="C47" s="158"/>
      <c r="D47" s="158">
        <f t="shared" si="14"/>
        <v>0</v>
      </c>
      <c r="E47" s="158"/>
      <c r="F47" s="158"/>
      <c r="G47" s="72">
        <f t="shared" si="15"/>
        <v>0</v>
      </c>
    </row>
    <row r="48" spans="1:7" x14ac:dyDescent="0.25">
      <c r="A48" s="69" t="s">
        <v>368</v>
      </c>
      <c r="B48" s="158"/>
      <c r="C48" s="158"/>
      <c r="D48" s="158">
        <f t="shared" si="14"/>
        <v>0</v>
      </c>
      <c r="E48" s="158"/>
      <c r="F48" s="158"/>
      <c r="G48" s="72">
        <f t="shared" si="15"/>
        <v>0</v>
      </c>
    </row>
    <row r="49" spans="1:7" x14ac:dyDescent="0.25">
      <c r="A49" s="69" t="s">
        <v>369</v>
      </c>
      <c r="B49" s="157">
        <v>799857.14</v>
      </c>
      <c r="C49" s="157">
        <v>-712758.7</v>
      </c>
      <c r="D49" s="158">
        <f t="shared" si="14"/>
        <v>87098.440000000061</v>
      </c>
      <c r="E49" s="157">
        <v>0</v>
      </c>
      <c r="F49" s="157">
        <v>0</v>
      </c>
      <c r="G49" s="72">
        <f t="shared" si="15"/>
        <v>87098.440000000061</v>
      </c>
    </row>
    <row r="50" spans="1:7" x14ac:dyDescent="0.25">
      <c r="A50" s="69" t="s">
        <v>370</v>
      </c>
      <c r="B50" s="158"/>
      <c r="C50" s="158"/>
      <c r="D50" s="158">
        <f t="shared" si="14"/>
        <v>0</v>
      </c>
      <c r="E50" s="158"/>
      <c r="F50" s="158"/>
      <c r="G50" s="72">
        <f t="shared" si="15"/>
        <v>0</v>
      </c>
    </row>
    <row r="51" spans="1:7" x14ac:dyDescent="0.25">
      <c r="A51" s="69" t="s">
        <v>371</v>
      </c>
      <c r="B51" s="157">
        <v>8056142.8600000003</v>
      </c>
      <c r="C51" s="157">
        <v>5125.7</v>
      </c>
      <c r="D51" s="158">
        <f t="shared" si="14"/>
        <v>8061268.5600000005</v>
      </c>
      <c r="E51" s="157">
        <v>3041500.23</v>
      </c>
      <c r="F51" s="157">
        <v>3041500.23</v>
      </c>
      <c r="G51" s="72">
        <f t="shared" si="15"/>
        <v>5019768.33</v>
      </c>
    </row>
    <row r="52" spans="1:7" x14ac:dyDescent="0.25">
      <c r="A52" s="69" t="s">
        <v>372</v>
      </c>
      <c r="B52" s="158"/>
      <c r="C52" s="158"/>
      <c r="D52" s="158">
        <f t="shared" si="14"/>
        <v>0</v>
      </c>
      <c r="E52" s="158"/>
      <c r="F52" s="158"/>
      <c r="G52" s="72">
        <f t="shared" si="15"/>
        <v>0</v>
      </c>
    </row>
    <row r="53" spans="1:7" x14ac:dyDescent="0.25">
      <c r="A53" s="53" t="s">
        <v>373</v>
      </c>
      <c r="B53" s="71">
        <f>SUM(B54:B60)</f>
        <v>30144000</v>
      </c>
      <c r="C53" s="71">
        <f t="shared" ref="C53:G53" si="16">SUM(C54:C60)</f>
        <v>25852518.879999999</v>
      </c>
      <c r="D53" s="71">
        <f t="shared" si="16"/>
        <v>55996518.880000003</v>
      </c>
      <c r="E53" s="71">
        <f t="shared" si="16"/>
        <v>8077200.6500000004</v>
      </c>
      <c r="F53" s="71">
        <f t="shared" si="16"/>
        <v>8077200.6500000004</v>
      </c>
      <c r="G53" s="71">
        <f t="shared" si="16"/>
        <v>47919318.230000004</v>
      </c>
    </row>
    <row r="54" spans="1:7" x14ac:dyDescent="0.25">
      <c r="A54" s="69" t="s">
        <v>374</v>
      </c>
      <c r="B54" s="158"/>
      <c r="C54" s="158"/>
      <c r="D54" s="158">
        <f t="shared" ref="D54:D60" si="17">B54+C54</f>
        <v>0</v>
      </c>
      <c r="E54" s="158"/>
      <c r="F54" s="158"/>
      <c r="G54" s="72">
        <f>D54-E54</f>
        <v>0</v>
      </c>
    </row>
    <row r="55" spans="1:7" x14ac:dyDescent="0.25">
      <c r="A55" s="69" t="s">
        <v>375</v>
      </c>
      <c r="B55" s="157">
        <v>30144000</v>
      </c>
      <c r="C55" s="157">
        <v>25823189.289999999</v>
      </c>
      <c r="D55" s="158">
        <f t="shared" si="17"/>
        <v>55967189.289999999</v>
      </c>
      <c r="E55" s="157">
        <v>8054240.6500000004</v>
      </c>
      <c r="F55" s="157">
        <v>8054240.6500000004</v>
      </c>
      <c r="G55" s="72">
        <f t="shared" ref="G55:G60" si="18">D55-E55</f>
        <v>47912948.640000001</v>
      </c>
    </row>
    <row r="56" spans="1:7" x14ac:dyDescent="0.25">
      <c r="A56" s="69" t="s">
        <v>376</v>
      </c>
      <c r="B56" s="158"/>
      <c r="C56" s="158"/>
      <c r="D56" s="158">
        <f t="shared" si="17"/>
        <v>0</v>
      </c>
      <c r="E56" s="158"/>
      <c r="F56" s="158"/>
      <c r="G56" s="72">
        <f t="shared" si="18"/>
        <v>0</v>
      </c>
    </row>
    <row r="57" spans="1:7" x14ac:dyDescent="0.25">
      <c r="A57" s="48" t="s">
        <v>377</v>
      </c>
      <c r="B57" s="157">
        <v>0</v>
      </c>
      <c r="C57" s="157">
        <v>29329.59</v>
      </c>
      <c r="D57" s="158">
        <f t="shared" si="17"/>
        <v>29329.59</v>
      </c>
      <c r="E57" s="157">
        <v>22960</v>
      </c>
      <c r="F57" s="157">
        <v>22960</v>
      </c>
      <c r="G57" s="72">
        <f t="shared" si="18"/>
        <v>6369.59</v>
      </c>
    </row>
    <row r="58" spans="1:7" x14ac:dyDescent="0.25">
      <c r="A58" s="69" t="s">
        <v>378</v>
      </c>
      <c r="B58" s="158"/>
      <c r="C58" s="158"/>
      <c r="D58" s="158">
        <f t="shared" si="17"/>
        <v>0</v>
      </c>
      <c r="E58" s="158"/>
      <c r="F58" s="158"/>
      <c r="G58" s="72">
        <f t="shared" si="18"/>
        <v>0</v>
      </c>
    </row>
    <row r="59" spans="1:7" x14ac:dyDescent="0.25">
      <c r="A59" s="69" t="s">
        <v>379</v>
      </c>
      <c r="B59" s="158"/>
      <c r="C59" s="158"/>
      <c r="D59" s="158">
        <f t="shared" si="17"/>
        <v>0</v>
      </c>
      <c r="E59" s="158"/>
      <c r="F59" s="158"/>
      <c r="G59" s="72">
        <f t="shared" si="18"/>
        <v>0</v>
      </c>
    </row>
    <row r="60" spans="1:7" x14ac:dyDescent="0.25">
      <c r="A60" s="69" t="s">
        <v>380</v>
      </c>
      <c r="B60" s="158"/>
      <c r="C60" s="158"/>
      <c r="D60" s="158">
        <f t="shared" si="17"/>
        <v>0</v>
      </c>
      <c r="E60" s="158"/>
      <c r="F60" s="158"/>
      <c r="G60" s="72">
        <f t="shared" si="18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9">SUM(C62:C70)</f>
        <v>914938.6</v>
      </c>
      <c r="D61" s="71">
        <f t="shared" si="19"/>
        <v>914938.6</v>
      </c>
      <c r="E61" s="71">
        <f t="shared" si="19"/>
        <v>0</v>
      </c>
      <c r="F61" s="71">
        <f t="shared" si="19"/>
        <v>0</v>
      </c>
      <c r="G61" s="71">
        <f t="shared" si="19"/>
        <v>914938.6</v>
      </c>
    </row>
    <row r="62" spans="1:7" x14ac:dyDescent="0.25">
      <c r="A62" s="69" t="s">
        <v>382</v>
      </c>
      <c r="B62" s="158"/>
      <c r="C62" s="158"/>
      <c r="D62" s="158">
        <f t="shared" ref="D62:D70" si="20">B62+C62</f>
        <v>0</v>
      </c>
      <c r="E62" s="158"/>
      <c r="F62" s="158"/>
      <c r="G62" s="72">
        <f>D62-E62</f>
        <v>0</v>
      </c>
    </row>
    <row r="63" spans="1:7" x14ac:dyDescent="0.25">
      <c r="A63" s="69" t="s">
        <v>383</v>
      </c>
      <c r="B63" s="157">
        <v>0</v>
      </c>
      <c r="C63" s="157">
        <v>914938.6</v>
      </c>
      <c r="D63" s="158">
        <f t="shared" si="20"/>
        <v>914938.6</v>
      </c>
      <c r="E63" s="157">
        <v>0</v>
      </c>
      <c r="F63" s="157">
        <v>0</v>
      </c>
      <c r="G63" s="72">
        <f t="shared" ref="G63:G70" si="21">D63-E63</f>
        <v>914938.6</v>
      </c>
    </row>
    <row r="64" spans="1:7" x14ac:dyDescent="0.25">
      <c r="A64" s="69" t="s">
        <v>384</v>
      </c>
      <c r="B64" s="158"/>
      <c r="C64" s="158"/>
      <c r="D64" s="158">
        <f t="shared" si="20"/>
        <v>0</v>
      </c>
      <c r="E64" s="158"/>
      <c r="F64" s="158"/>
      <c r="G64" s="72">
        <f t="shared" si="21"/>
        <v>0</v>
      </c>
    </row>
    <row r="65" spans="1:8" x14ac:dyDescent="0.25">
      <c r="A65" s="69" t="s">
        <v>385</v>
      </c>
      <c r="B65" s="158"/>
      <c r="C65" s="158"/>
      <c r="D65" s="158">
        <f t="shared" si="20"/>
        <v>0</v>
      </c>
      <c r="E65" s="158"/>
      <c r="F65" s="158"/>
      <c r="G65" s="72">
        <f t="shared" si="21"/>
        <v>0</v>
      </c>
    </row>
    <row r="66" spans="1:8" x14ac:dyDescent="0.25">
      <c r="A66" s="69" t="s">
        <v>386</v>
      </c>
      <c r="B66" s="158"/>
      <c r="C66" s="158"/>
      <c r="D66" s="158">
        <f t="shared" si="20"/>
        <v>0</v>
      </c>
      <c r="E66" s="158"/>
      <c r="F66" s="158"/>
      <c r="G66" s="72">
        <f t="shared" si="21"/>
        <v>0</v>
      </c>
    </row>
    <row r="67" spans="1:8" x14ac:dyDescent="0.25">
      <c r="A67" s="69" t="s">
        <v>387</v>
      </c>
      <c r="B67" s="158"/>
      <c r="C67" s="158"/>
      <c r="D67" s="158">
        <f t="shared" si="20"/>
        <v>0</v>
      </c>
      <c r="E67" s="158"/>
      <c r="F67" s="158"/>
      <c r="G67" s="72">
        <f t="shared" si="21"/>
        <v>0</v>
      </c>
    </row>
    <row r="68" spans="1:8" x14ac:dyDescent="0.25">
      <c r="A68" s="69" t="s">
        <v>388</v>
      </c>
      <c r="B68" s="158"/>
      <c r="C68" s="158"/>
      <c r="D68" s="158">
        <f t="shared" si="20"/>
        <v>0</v>
      </c>
      <c r="E68" s="158"/>
      <c r="F68" s="158"/>
      <c r="G68" s="72">
        <f t="shared" si="21"/>
        <v>0</v>
      </c>
    </row>
    <row r="69" spans="1:8" x14ac:dyDescent="0.25">
      <c r="A69" s="69" t="s">
        <v>389</v>
      </c>
      <c r="B69" s="158"/>
      <c r="C69" s="158"/>
      <c r="D69" s="158">
        <f t="shared" si="20"/>
        <v>0</v>
      </c>
      <c r="E69" s="158"/>
      <c r="F69" s="158"/>
      <c r="G69" s="72">
        <f t="shared" si="21"/>
        <v>0</v>
      </c>
    </row>
    <row r="70" spans="1:8" x14ac:dyDescent="0.25">
      <c r="A70" s="69" t="s">
        <v>390</v>
      </c>
      <c r="B70" s="158"/>
      <c r="C70" s="158"/>
      <c r="D70" s="158">
        <f t="shared" si="20"/>
        <v>0</v>
      </c>
      <c r="E70" s="158"/>
      <c r="F70" s="158"/>
      <c r="G70" s="72">
        <f t="shared" si="21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22">SUM(C72:C75)</f>
        <v>0</v>
      </c>
      <c r="D71" s="74">
        <f t="shared" si="22"/>
        <v>0</v>
      </c>
      <c r="E71" s="74">
        <f t="shared" si="22"/>
        <v>0</v>
      </c>
      <c r="F71" s="74">
        <f t="shared" si="22"/>
        <v>0</v>
      </c>
      <c r="G71" s="74">
        <f>SUM(G72:G75)</f>
        <v>0</v>
      </c>
    </row>
    <row r="72" spans="1:8" x14ac:dyDescent="0.25">
      <c r="A72" s="69" t="s">
        <v>391</v>
      </c>
      <c r="B72" s="158"/>
      <c r="C72" s="158"/>
      <c r="D72" s="158">
        <f t="shared" ref="D72:D75" si="23">B72+C72</f>
        <v>0</v>
      </c>
      <c r="E72" s="158"/>
      <c r="F72" s="158"/>
      <c r="G72" s="72">
        <f>D72-E72</f>
        <v>0</v>
      </c>
    </row>
    <row r="73" spans="1:8" ht="30" x14ac:dyDescent="0.25">
      <c r="A73" s="69" t="s">
        <v>392</v>
      </c>
      <c r="B73" s="158"/>
      <c r="C73" s="158"/>
      <c r="D73" s="158">
        <f t="shared" si="23"/>
        <v>0</v>
      </c>
      <c r="E73" s="158"/>
      <c r="F73" s="158"/>
      <c r="G73" s="72">
        <f t="shared" ref="G73:G75" si="24">D73-E73</f>
        <v>0</v>
      </c>
    </row>
    <row r="74" spans="1:8" x14ac:dyDescent="0.25">
      <c r="A74" s="69" t="s">
        <v>393</v>
      </c>
      <c r="B74" s="158"/>
      <c r="C74" s="158"/>
      <c r="D74" s="158">
        <f t="shared" si="23"/>
        <v>0</v>
      </c>
      <c r="E74" s="158"/>
      <c r="F74" s="158"/>
      <c r="G74" s="72">
        <f t="shared" si="24"/>
        <v>0</v>
      </c>
    </row>
    <row r="75" spans="1:8" x14ac:dyDescent="0.25">
      <c r="A75" s="69" t="s">
        <v>394</v>
      </c>
      <c r="B75" s="158"/>
      <c r="C75" s="158"/>
      <c r="D75" s="158">
        <f t="shared" si="23"/>
        <v>0</v>
      </c>
      <c r="E75" s="158"/>
      <c r="F75" s="158"/>
      <c r="G75" s="72">
        <f t="shared" si="24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94673000</v>
      </c>
      <c r="C77" s="73">
        <f t="shared" ref="C77:F77" si="25">C43+C9</f>
        <v>33326569.59</v>
      </c>
      <c r="D77" s="73">
        <f t="shared" si="25"/>
        <v>127999569.59</v>
      </c>
      <c r="E77" s="73">
        <f t="shared" si="25"/>
        <v>33203018.990000002</v>
      </c>
      <c r="F77" s="73">
        <f t="shared" si="25"/>
        <v>33203018.990000002</v>
      </c>
      <c r="G77" s="73">
        <f>G43+G9</f>
        <v>94796550.600000009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55673000</v>
      </c>
      <c r="Q2" s="18">
        <f>'Formato 6 c)'!C9</f>
        <v>7266745.1100000003</v>
      </c>
      <c r="R2" s="18">
        <f>'Formato 6 c)'!D9</f>
        <v>62939745.110000007</v>
      </c>
      <c r="S2" s="18">
        <f>'Formato 6 c)'!E9</f>
        <v>22084318.109999999</v>
      </c>
      <c r="T2" s="18">
        <f>'Formato 6 c)'!F9</f>
        <v>22084318.109999999</v>
      </c>
      <c r="U2" s="18">
        <f>'Formato 6 c)'!G9</f>
        <v>40855427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33175335.52</v>
      </c>
      <c r="Q3" s="18">
        <f>'Formato 6 c)'!C10</f>
        <v>3873052.9899999998</v>
      </c>
      <c r="R3" s="18">
        <f>'Formato 6 c)'!D10</f>
        <v>37048388.509999998</v>
      </c>
      <c r="S3" s="18">
        <f>'Formato 6 c)'!E10</f>
        <v>11806159.280000001</v>
      </c>
      <c r="T3" s="18">
        <f>'Formato 6 c)'!F10</f>
        <v>11806159.280000001</v>
      </c>
      <c r="U3" s="18">
        <f>'Formato 6 c)'!G10</f>
        <v>25242229.229999997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6965877.6299999999</v>
      </c>
      <c r="Q4" s="18">
        <f>'Formato 6 c)'!C11</f>
        <v>-111665.38</v>
      </c>
      <c r="R4" s="18">
        <f>'Formato 6 c)'!D11</f>
        <v>6854212.25</v>
      </c>
      <c r="S4" s="18">
        <f>'Formato 6 c)'!E11</f>
        <v>2817428.31</v>
      </c>
      <c r="T4" s="18">
        <f>'Formato 6 c)'!F11</f>
        <v>2817428.31</v>
      </c>
      <c r="U4" s="18">
        <f>'Formato 6 c)'!G11</f>
        <v>4036783.94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12815213.449999999</v>
      </c>
      <c r="Q6" s="18">
        <f>'Formato 6 c)'!C13</f>
        <v>1628784.38</v>
      </c>
      <c r="R6" s="18">
        <f>'Formato 6 c)'!D13</f>
        <v>14443997.829999998</v>
      </c>
      <c r="S6" s="18">
        <f>'Formato 6 c)'!E13</f>
        <v>4522938.08</v>
      </c>
      <c r="T6" s="18">
        <f>'Formato 6 c)'!F13</f>
        <v>4522938.08</v>
      </c>
      <c r="U6" s="18">
        <f>'Formato 6 c)'!G13</f>
        <v>9921059.7499999981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6914097.7699999996</v>
      </c>
      <c r="Q8" s="18">
        <f>'Formato 6 c)'!C15</f>
        <v>2453613.8199999998</v>
      </c>
      <c r="R8" s="18">
        <f>'Formato 6 c)'!D15</f>
        <v>9367711.5899999999</v>
      </c>
      <c r="S8" s="18">
        <f>'Formato 6 c)'!E15</f>
        <v>2263927.25</v>
      </c>
      <c r="T8" s="18">
        <f>'Formato 6 c)'!F15</f>
        <v>2263927.25</v>
      </c>
      <c r="U8" s="18">
        <f>'Formato 6 c)'!G15</f>
        <v>7103784.3399999999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2453762.1</v>
      </c>
      <c r="Q10" s="18">
        <f>'Formato 6 c)'!C17</f>
        <v>-15352.04</v>
      </c>
      <c r="R10" s="18">
        <f>'Formato 6 c)'!D17</f>
        <v>2438410.06</v>
      </c>
      <c r="S10" s="18">
        <f>'Formato 6 c)'!E17</f>
        <v>751183.21</v>
      </c>
      <c r="T10" s="18">
        <f>'Formato 6 c)'!F17</f>
        <v>751183.21</v>
      </c>
      <c r="U10" s="18">
        <f>'Formato 6 c)'!G17</f>
        <v>1687226.85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4026384.57</v>
      </c>
      <c r="Q11" s="18">
        <f>'Formato 6 c)'!C18</f>
        <v>-82327.789999999994</v>
      </c>
      <c r="R11" s="18">
        <f>'Formato 6 c)'!D18</f>
        <v>3944056.78</v>
      </c>
      <c r="S11" s="18">
        <f>'Formato 6 c)'!E18</f>
        <v>1450682.43</v>
      </c>
      <c r="T11" s="18">
        <f>'Formato 6 c)'!F18</f>
        <v>1450682.43</v>
      </c>
      <c r="U11" s="18">
        <f>'Formato 6 c)'!G18</f>
        <v>2493374.3499999996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21221027.220000003</v>
      </c>
      <c r="Q12" s="18">
        <f>'Formato 6 c)'!C19</f>
        <v>2643107.5</v>
      </c>
      <c r="R12" s="18">
        <f>'Formato 6 c)'!D19</f>
        <v>23864134.720000003</v>
      </c>
      <c r="S12" s="18">
        <f>'Formato 6 c)'!E19</f>
        <v>9854852.3299999982</v>
      </c>
      <c r="T12" s="18">
        <f>'Formato 6 c)'!F19</f>
        <v>9854852.3299999982</v>
      </c>
      <c r="U12" s="18">
        <f>'Formato 6 c)'!G19</f>
        <v>14009282.390000002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733632.3</v>
      </c>
      <c r="Q13" s="18">
        <f>'Formato 6 c)'!C20</f>
        <v>-11955.04</v>
      </c>
      <c r="R13" s="18">
        <f>'Formato 6 c)'!D20</f>
        <v>721677.26</v>
      </c>
      <c r="S13" s="18">
        <f>'Formato 6 c)'!E20</f>
        <v>267105.57</v>
      </c>
      <c r="T13" s="18">
        <f>'Formato 6 c)'!F20</f>
        <v>267105.57</v>
      </c>
      <c r="U13" s="18">
        <f>'Formato 6 c)'!G20</f>
        <v>454571.69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13076184.34</v>
      </c>
      <c r="Q14" s="18">
        <f>'Formato 6 c)'!C21</f>
        <v>2437778.56</v>
      </c>
      <c r="R14" s="18">
        <f>'Formato 6 c)'!D21</f>
        <v>15513962.9</v>
      </c>
      <c r="S14" s="18">
        <f>'Formato 6 c)'!E21</f>
        <v>7123228.3899999997</v>
      </c>
      <c r="T14" s="18">
        <f>'Formato 6 c)'!F21</f>
        <v>7123228.3899999997</v>
      </c>
      <c r="U14" s="18">
        <f>'Formato 6 c)'!G21</f>
        <v>8390734.5100000016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200000</v>
      </c>
      <c r="Q15" s="18">
        <f>'Formato 6 c)'!C22</f>
        <v>-2201.25</v>
      </c>
      <c r="R15" s="18">
        <f>'Formato 6 c)'!D22</f>
        <v>197798.75</v>
      </c>
      <c r="S15" s="18">
        <f>'Formato 6 c)'!E22</f>
        <v>5104</v>
      </c>
      <c r="T15" s="18">
        <f>'Formato 6 c)'!F22</f>
        <v>5104</v>
      </c>
      <c r="U15" s="18">
        <f>'Formato 6 c)'!G22</f>
        <v>192694.75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3830437.85</v>
      </c>
      <c r="Q16" s="18">
        <f>'Formato 6 c)'!C23</f>
        <v>211829.15</v>
      </c>
      <c r="R16" s="18">
        <f>'Formato 6 c)'!D23</f>
        <v>4042267</v>
      </c>
      <c r="S16" s="18">
        <f>'Formato 6 c)'!E23</f>
        <v>709126.75</v>
      </c>
      <c r="T16" s="18">
        <f>'Formato 6 c)'!F23</f>
        <v>709126.75</v>
      </c>
      <c r="U16" s="18">
        <f>'Formato 6 c)'!G23</f>
        <v>3333140.25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1517290.88</v>
      </c>
      <c r="Q17" s="18">
        <f>'Formato 6 c)'!C24</f>
        <v>11280.08</v>
      </c>
      <c r="R17" s="18">
        <f>'Formato 6 c)'!D24</f>
        <v>1528570.96</v>
      </c>
      <c r="S17" s="18">
        <f>'Formato 6 c)'!E24</f>
        <v>553139.49</v>
      </c>
      <c r="T17" s="18">
        <f>'Formato 6 c)'!F24</f>
        <v>553139.49</v>
      </c>
      <c r="U17" s="18">
        <f>'Formato 6 c)'!G24</f>
        <v>975431.47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1863481.85</v>
      </c>
      <c r="Q18" s="18">
        <f>'Formato 6 c)'!C25</f>
        <v>-3624</v>
      </c>
      <c r="R18" s="18">
        <f>'Formato 6 c)'!D25</f>
        <v>1859857.85</v>
      </c>
      <c r="S18" s="18">
        <f>'Formato 6 c)'!E25</f>
        <v>1197148.1299999999</v>
      </c>
      <c r="T18" s="18">
        <f>'Formato 6 c)'!F25</f>
        <v>1197148.1299999999</v>
      </c>
      <c r="U18" s="18">
        <f>'Formato 6 c)'!G25</f>
        <v>662709.7200000002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1276637.26</v>
      </c>
      <c r="Q20" s="18">
        <f>'Formato 6 c)'!C27</f>
        <v>750584.62000000011</v>
      </c>
      <c r="R20" s="18">
        <f>'Formato 6 c)'!D27</f>
        <v>2027221.88</v>
      </c>
      <c r="S20" s="18">
        <f>'Formato 6 c)'!E27</f>
        <v>423306.5</v>
      </c>
      <c r="T20" s="18">
        <f>'Formato 6 c)'!F27</f>
        <v>423306.5</v>
      </c>
      <c r="U20" s="18">
        <f>'Formato 6 c)'!G27</f>
        <v>1603915.38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332720.25</v>
      </c>
      <c r="Q21" s="18">
        <f>'Formato 6 c)'!C28</f>
        <v>-19037.689999999999</v>
      </c>
      <c r="R21" s="18">
        <f>'Formato 6 c)'!D28</f>
        <v>313682.56</v>
      </c>
      <c r="S21" s="18">
        <f>'Formato 6 c)'!E28</f>
        <v>98870.3</v>
      </c>
      <c r="T21" s="18">
        <f>'Formato 6 c)'!F28</f>
        <v>98870.3</v>
      </c>
      <c r="U21" s="18">
        <f>'Formato 6 c)'!G28</f>
        <v>214812.26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551767.63</v>
      </c>
      <c r="Q22" s="18">
        <f>'Formato 6 c)'!C29</f>
        <v>735361.79</v>
      </c>
      <c r="R22" s="18">
        <f>'Formato 6 c)'!D29</f>
        <v>1287129.42</v>
      </c>
      <c r="S22" s="18">
        <f>'Formato 6 c)'!E29</f>
        <v>191242.57</v>
      </c>
      <c r="T22" s="18">
        <f>'Formato 6 c)'!F29</f>
        <v>191242.57</v>
      </c>
      <c r="U22" s="18">
        <f>'Formato 6 c)'!G29</f>
        <v>1095886.8499999999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392149.38</v>
      </c>
      <c r="Q27" s="18">
        <f>'Formato 6 c)'!C34</f>
        <v>34260.519999999997</v>
      </c>
      <c r="R27" s="18">
        <f>'Formato 6 c)'!D34</f>
        <v>426409.9</v>
      </c>
      <c r="S27" s="18">
        <f>'Formato 6 c)'!E34</f>
        <v>133193.63</v>
      </c>
      <c r="T27" s="18">
        <f>'Formato 6 c)'!F34</f>
        <v>133193.63</v>
      </c>
      <c r="U27" s="18">
        <f>'Formato 6 c)'!G34</f>
        <v>293216.27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39000000</v>
      </c>
      <c r="Q35" s="18">
        <f>'Formato 6 c)'!C43</f>
        <v>26059824.48</v>
      </c>
      <c r="R35" s="18">
        <f>'Formato 6 c)'!D43</f>
        <v>65059824.480000004</v>
      </c>
      <c r="S35" s="18">
        <f>'Formato 6 c)'!E43</f>
        <v>11118700.880000001</v>
      </c>
      <c r="T35" s="18">
        <f>'Formato 6 c)'!F43</f>
        <v>11118700.880000001</v>
      </c>
      <c r="U35" s="18">
        <f>'Formato 6 c)'!G43</f>
        <v>53941123.600000009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8856000</v>
      </c>
      <c r="Q36" s="18">
        <f>'Formato 6 c)'!C44</f>
        <v>-707633</v>
      </c>
      <c r="R36" s="18">
        <f>'Formato 6 c)'!D44</f>
        <v>8148367.0000000009</v>
      </c>
      <c r="S36" s="18">
        <f>'Formato 6 c)'!E44</f>
        <v>3041500.23</v>
      </c>
      <c r="T36" s="18">
        <f>'Formato 6 c)'!F44</f>
        <v>3041500.23</v>
      </c>
      <c r="U36" s="18">
        <f>'Formato 6 c)'!G44</f>
        <v>5106866.7700000005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799857.14</v>
      </c>
      <c r="Q41" s="18">
        <f>'Formato 6 c)'!C49</f>
        <v>-712758.7</v>
      </c>
      <c r="R41" s="18">
        <f>'Formato 6 c)'!D49</f>
        <v>87098.440000000061</v>
      </c>
      <c r="S41" s="18">
        <f>'Formato 6 c)'!E49</f>
        <v>0</v>
      </c>
      <c r="T41" s="18">
        <f>'Formato 6 c)'!F49</f>
        <v>0</v>
      </c>
      <c r="U41" s="18">
        <f>'Formato 6 c)'!G49</f>
        <v>87098.440000000061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8056142.8600000003</v>
      </c>
      <c r="Q43" s="18">
        <f>'Formato 6 c)'!C51</f>
        <v>5125.7</v>
      </c>
      <c r="R43" s="18">
        <f>'Formato 6 c)'!D51</f>
        <v>8061268.5600000005</v>
      </c>
      <c r="S43" s="18">
        <f>'Formato 6 c)'!E51</f>
        <v>3041500.23</v>
      </c>
      <c r="T43" s="18">
        <f>'Formato 6 c)'!F51</f>
        <v>3041500.23</v>
      </c>
      <c r="U43" s="18">
        <f>'Formato 6 c)'!G51</f>
        <v>5019768.33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30144000</v>
      </c>
      <c r="Q45" s="18">
        <f>'Formato 6 c)'!C53</f>
        <v>25852518.879999999</v>
      </c>
      <c r="R45" s="18">
        <f>'Formato 6 c)'!D53</f>
        <v>55996518.880000003</v>
      </c>
      <c r="S45" s="18">
        <f>'Formato 6 c)'!E53</f>
        <v>8077200.6500000004</v>
      </c>
      <c r="T45" s="18">
        <f>'Formato 6 c)'!F53</f>
        <v>8077200.6500000004</v>
      </c>
      <c r="U45" s="18">
        <f>'Formato 6 c)'!G53</f>
        <v>47919318.230000004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30144000</v>
      </c>
      <c r="Q47" s="18">
        <f>'Formato 6 c)'!C55</f>
        <v>25823189.289999999</v>
      </c>
      <c r="R47" s="18">
        <f>'Formato 6 c)'!D55</f>
        <v>55967189.289999999</v>
      </c>
      <c r="S47" s="18">
        <f>'Formato 6 c)'!E55</f>
        <v>8054240.6500000004</v>
      </c>
      <c r="T47" s="18">
        <f>'Formato 6 c)'!F55</f>
        <v>8054240.6500000004</v>
      </c>
      <c r="U47" s="18">
        <f>'Formato 6 c)'!G55</f>
        <v>47912948.640000001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29329.59</v>
      </c>
      <c r="R49" s="18">
        <f>'Formato 6 c)'!D57</f>
        <v>29329.59</v>
      </c>
      <c r="S49" s="18">
        <f>'Formato 6 c)'!E57</f>
        <v>22960</v>
      </c>
      <c r="T49" s="18">
        <f>'Formato 6 c)'!F57</f>
        <v>22960</v>
      </c>
      <c r="U49" s="18">
        <f>'Formato 6 c)'!G57</f>
        <v>6369.59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914938.6</v>
      </c>
      <c r="R53" s="18">
        <f>'Formato 6 c)'!D61</f>
        <v>914938.6</v>
      </c>
      <c r="S53" s="18">
        <f>'Formato 6 c)'!E61</f>
        <v>0</v>
      </c>
      <c r="T53" s="18">
        <f>'Formato 6 c)'!F61</f>
        <v>0</v>
      </c>
      <c r="U53" s="18">
        <f>'Formato 6 c)'!G61</f>
        <v>914938.6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914938.6</v>
      </c>
      <c r="R55" s="18">
        <f>'Formato 6 c)'!D63</f>
        <v>914938.6</v>
      </c>
      <c r="S55" s="18">
        <f>'Formato 6 c)'!E63</f>
        <v>0</v>
      </c>
      <c r="T55" s="18">
        <f>'Formato 6 c)'!F63</f>
        <v>0</v>
      </c>
      <c r="U55" s="18">
        <f>'Formato 6 c)'!G63</f>
        <v>914938.6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94673000</v>
      </c>
      <c r="Q68" s="18">
        <f>'Formato 6 c)'!C77</f>
        <v>33326569.59</v>
      </c>
      <c r="R68" s="18">
        <f>'Formato 6 c)'!D77</f>
        <v>127999569.59</v>
      </c>
      <c r="S68" s="18">
        <f>'Formato 6 c)'!E77</f>
        <v>33203018.990000002</v>
      </c>
      <c r="T68" s="18">
        <f>'Formato 6 c)'!F77</f>
        <v>33203018.990000002</v>
      </c>
      <c r="U68" s="18">
        <f>'Formato 6 c)'!G77</f>
        <v>94796550.600000009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BLANCA, Gobierno del Estado de Guanajuato</v>
      </c>
    </row>
    <row r="7" spans="2:3" ht="14.25" x14ac:dyDescent="0.45">
      <c r="C7" t="str">
        <f>CONCATENATE(ENTE_PUBLICO," (a)")</f>
        <v>MUNICIPIO DE TIERRA BLANCA,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2021</v>
      </c>
    </row>
    <row r="14" spans="2:3" ht="14.25" x14ac:dyDescent="0.45">
      <c r="B14" t="s">
        <v>793</v>
      </c>
      <c r="C14" s="24" t="s">
        <v>3302</v>
      </c>
    </row>
    <row r="15" spans="2:3" ht="14.25" x14ac:dyDescent="0.45">
      <c r="C15" s="24">
        <v>2</v>
      </c>
    </row>
    <row r="16" spans="2:3" ht="14.25" x14ac:dyDescent="0.45">
      <c r="C16" s="24" t="s">
        <v>3303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2021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2021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2021 (m = g – l)</v>
      </c>
    </row>
    <row r="20" spans="4:9" ht="57" x14ac:dyDescent="0.45">
      <c r="D20" s="21" t="str">
        <f>CONCATENATE(ANIO_INFORME, " (d)")</f>
        <v>2021 (d)</v>
      </c>
      <c r="E20" s="22" t="str">
        <f>CONCATENATE("31 de diciembre de ",ANIO_INFORME-1, " (e)")</f>
        <v>31 de diciembre de 2020 (e)</v>
      </c>
      <c r="F20" s="31" t="str">
        <f>CONCATENATE("Saldo al 31 de diciembre de ",ANIO_INFORME-1, " (d)")</f>
        <v>Saldo al 31 de diciembre de 2020 (d)</v>
      </c>
    </row>
    <row r="23" spans="4:9" ht="14.25" x14ac:dyDescent="0.45">
      <c r="D23" s="33">
        <f>ANIO_INFORME + 1</f>
        <v>2022</v>
      </c>
      <c r="E23" s="34" t="str">
        <f>CONCATENATE(ANIO_INFORME + 2, " (d)")</f>
        <v>2023 (d)</v>
      </c>
      <c r="F23" s="34" t="str">
        <f>CONCATENATE(ANIO_INFORME + 3, " (d)")</f>
        <v>2024 (d)</v>
      </c>
      <c r="G23" s="34" t="str">
        <f>CONCATENATE(ANIO_INFORME + 4, " (d)")</f>
        <v>2025 (d)</v>
      </c>
      <c r="H23" s="34" t="str">
        <f>CONCATENATE(ANIO_INFORME + 5, " (d)")</f>
        <v>2026 (d)</v>
      </c>
      <c r="I23" s="34" t="str">
        <f>CONCATENATE(ANIO_INFORME + 6, " (d)")</f>
        <v>2027 (d)</v>
      </c>
    </row>
    <row r="25" spans="4:9" x14ac:dyDescent="0.25">
      <c r="D25" s="35" t="str">
        <f>CONCATENATE(ANIO_INFORME - 5, " ",CHAR(185)," (c)")</f>
        <v>2016 ¹ (c)</v>
      </c>
      <c r="E25" s="35" t="str">
        <f>CONCATENATE(ANIO_INFORME - 4, " ",CHAR(185)," (c)")</f>
        <v>2017 ¹ (c)</v>
      </c>
      <c r="F25" s="35" t="str">
        <f>CONCATENATE(ANIO_INFORME - 3, " ",CHAR(185)," (c)")</f>
        <v>2018 ¹ (c)</v>
      </c>
      <c r="G25" s="35" t="str">
        <f>CONCATENATE(ANIO_INFORME - 2, " ",CHAR(185)," (c)")</f>
        <v>2019 ¹ (c)</v>
      </c>
      <c r="H25" s="35" t="str">
        <f>CONCATENATE(ANIO_INFORME - 1, " ",CHAR(185)," (c)")</f>
        <v>2020 ¹ (c)</v>
      </c>
      <c r="I25" s="33">
        <f>ANIO_INFORME</f>
        <v>2021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28" zoomScale="70" zoomScaleNormal="70" workbookViewId="0">
      <selection activeCell="B24" sqref="B24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4" t="s">
        <v>3287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ENTE_PUBLICO_A</f>
        <v>MUNICIPIO DE TIERRA BLANCA,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71" t="s">
        <v>277</v>
      </c>
      <c r="B3" s="172"/>
      <c r="C3" s="172"/>
      <c r="D3" s="172"/>
      <c r="E3" s="172"/>
      <c r="F3" s="172"/>
      <c r="G3" s="173"/>
    </row>
    <row r="4" spans="1:7" x14ac:dyDescent="0.25">
      <c r="A4" s="171" t="s">
        <v>399</v>
      </c>
      <c r="B4" s="172"/>
      <c r="C4" s="172"/>
      <c r="D4" s="172"/>
      <c r="E4" s="172"/>
      <c r="F4" s="172"/>
      <c r="G4" s="173"/>
    </row>
    <row r="5" spans="1:7" ht="14.25" x14ac:dyDescent="0.45">
      <c r="A5" s="171" t="str">
        <f>TRIMESTRE</f>
        <v>Del 1 de enero al 30 de junio de 2021 (b)</v>
      </c>
      <c r="B5" s="172"/>
      <c r="C5" s="172"/>
      <c r="D5" s="172"/>
      <c r="E5" s="172"/>
      <c r="F5" s="172"/>
      <c r="G5" s="173"/>
    </row>
    <row r="6" spans="1:7" ht="14.25" x14ac:dyDescent="0.4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361</v>
      </c>
      <c r="B7" s="185" t="s">
        <v>279</v>
      </c>
      <c r="C7" s="185"/>
      <c r="D7" s="185"/>
      <c r="E7" s="185"/>
      <c r="F7" s="185"/>
      <c r="G7" s="185" t="s">
        <v>280</v>
      </c>
    </row>
    <row r="8" spans="1:7" ht="29.25" customHeight="1" x14ac:dyDescent="0.25">
      <c r="A8" s="181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2"/>
    </row>
    <row r="9" spans="1:7" ht="14.25" x14ac:dyDescent="0.45">
      <c r="A9" s="52" t="s">
        <v>400</v>
      </c>
      <c r="B9" s="66">
        <f>SUM(B10,B11,B12,B15,B16,B19)</f>
        <v>28811035.859999999</v>
      </c>
      <c r="C9" s="66">
        <f t="shared" ref="C9:F9" si="0">SUM(C10,C11,C12,C15,C16,C19)</f>
        <v>695158.06</v>
      </c>
      <c r="D9" s="66">
        <f t="shared" si="0"/>
        <v>29506193.919999998</v>
      </c>
      <c r="E9" s="66">
        <f t="shared" si="0"/>
        <v>11090566.1</v>
      </c>
      <c r="F9" s="66">
        <f t="shared" si="0"/>
        <v>11090566.1</v>
      </c>
      <c r="G9" s="66">
        <f>SUM(G10,G11,G12,G15,G16,G19)</f>
        <v>18415627.82</v>
      </c>
    </row>
    <row r="10" spans="1:7" x14ac:dyDescent="0.25">
      <c r="A10" s="53" t="s">
        <v>401</v>
      </c>
      <c r="B10" s="159">
        <v>28811035.859999999</v>
      </c>
      <c r="C10" s="159">
        <v>695158.06</v>
      </c>
      <c r="D10" s="160">
        <f>B10+C10</f>
        <v>29506193.919999998</v>
      </c>
      <c r="E10" s="159">
        <v>11090566.1</v>
      </c>
      <c r="F10" s="159">
        <v>11090566.1</v>
      </c>
      <c r="G10" s="160">
        <f>D10-E10</f>
        <v>18415627.82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7086142.8600000003</v>
      </c>
      <c r="C21" s="66">
        <f t="shared" ref="C21:F21" si="4">SUM(C22,C23,C24,C27,C28,C31)</f>
        <v>-12303.41</v>
      </c>
      <c r="D21" s="66">
        <f t="shared" si="4"/>
        <v>7073839.4500000002</v>
      </c>
      <c r="E21" s="66">
        <f t="shared" si="4"/>
        <v>2665238.4300000002</v>
      </c>
      <c r="F21" s="66">
        <f t="shared" si="4"/>
        <v>2665238.4300000002</v>
      </c>
      <c r="G21" s="66">
        <f>SUM(G22,G23,G24,G27,G28,G31)</f>
        <v>4408601.0199999996</v>
      </c>
    </row>
    <row r="22" spans="1:7" s="24" customFormat="1" x14ac:dyDescent="0.25">
      <c r="A22" s="53" t="s">
        <v>401</v>
      </c>
      <c r="B22" s="159">
        <v>7086142.8600000003</v>
      </c>
      <c r="C22" s="159">
        <v>-12303.41</v>
      </c>
      <c r="D22" s="160">
        <f>B22+C22</f>
        <v>7073839.4500000002</v>
      </c>
      <c r="E22" s="159">
        <v>2665238.4300000002</v>
      </c>
      <c r="F22" s="159">
        <v>2665238.4300000002</v>
      </c>
      <c r="G22" s="160">
        <f>D22-E22</f>
        <v>4408601.0199999996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35897178.719999999</v>
      </c>
      <c r="C33" s="66">
        <f t="shared" ref="C33:G33" si="9">C21+C9</f>
        <v>682854.65</v>
      </c>
      <c r="D33" s="66">
        <f t="shared" si="9"/>
        <v>36580033.369999997</v>
      </c>
      <c r="E33" s="66">
        <f t="shared" si="9"/>
        <v>13755804.529999999</v>
      </c>
      <c r="F33" s="66">
        <f t="shared" si="9"/>
        <v>13755804.529999999</v>
      </c>
      <c r="G33" s="66">
        <f t="shared" si="9"/>
        <v>22824228.84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28811035.859999999</v>
      </c>
      <c r="Q2" s="18">
        <f>'Formato 6 d)'!C9</f>
        <v>695158.06</v>
      </c>
      <c r="R2" s="18">
        <f>'Formato 6 d)'!D9</f>
        <v>29506193.919999998</v>
      </c>
      <c r="S2" s="18">
        <f>'Formato 6 d)'!E9</f>
        <v>11090566.1</v>
      </c>
      <c r="T2" s="18">
        <f>'Formato 6 d)'!F9</f>
        <v>11090566.1</v>
      </c>
      <c r="U2" s="18">
        <f>'Formato 6 d)'!G9</f>
        <v>18415627.82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28811035.859999999</v>
      </c>
      <c r="Q3" s="18">
        <f>'Formato 6 d)'!C10</f>
        <v>695158.06</v>
      </c>
      <c r="R3" s="18">
        <f>'Formato 6 d)'!D10</f>
        <v>29506193.919999998</v>
      </c>
      <c r="S3" s="18">
        <f>'Formato 6 d)'!E10</f>
        <v>11090566.1</v>
      </c>
      <c r="T3" s="18">
        <f>'Formato 6 d)'!F10</f>
        <v>11090566.1</v>
      </c>
      <c r="U3" s="18">
        <f>'Formato 6 d)'!G10</f>
        <v>18415627.82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7086142.8600000003</v>
      </c>
      <c r="Q13" s="18">
        <f>'Formato 6 d)'!C21</f>
        <v>-12303.41</v>
      </c>
      <c r="R13" s="18">
        <f>'Formato 6 d)'!D21</f>
        <v>7073839.4500000002</v>
      </c>
      <c r="S13" s="18">
        <f>'Formato 6 d)'!E21</f>
        <v>2665238.4300000002</v>
      </c>
      <c r="T13" s="18">
        <f>'Formato 6 d)'!F21</f>
        <v>2665238.4300000002</v>
      </c>
      <c r="U13" s="18">
        <f>'Formato 6 d)'!G21</f>
        <v>4408601.0199999996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7086142.8600000003</v>
      </c>
      <c r="Q14" s="18">
        <f>'Formato 6 d)'!C22</f>
        <v>-12303.41</v>
      </c>
      <c r="R14" s="18">
        <f>'Formato 6 d)'!D22</f>
        <v>7073839.4500000002</v>
      </c>
      <c r="S14" s="18">
        <f>'Formato 6 d)'!E22</f>
        <v>2665238.4300000002</v>
      </c>
      <c r="T14" s="18">
        <f>'Formato 6 d)'!F22</f>
        <v>2665238.4300000002</v>
      </c>
      <c r="U14" s="18">
        <f>'Formato 6 d)'!G22</f>
        <v>4408601.0199999996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35897178.719999999</v>
      </c>
      <c r="Q24" s="18">
        <f>'Formato 6 d)'!C33</f>
        <v>682854.65</v>
      </c>
      <c r="R24" s="18">
        <f>'Formato 6 d)'!D33</f>
        <v>36580033.369999997</v>
      </c>
      <c r="S24" s="18">
        <f>'Formato 6 d)'!E33</f>
        <v>13755804.529999999</v>
      </c>
      <c r="T24" s="18">
        <f>'Formato 6 d)'!F33</f>
        <v>13755804.529999999</v>
      </c>
      <c r="U24" s="18">
        <f>'Formato 6 d)'!G33</f>
        <v>22824228.84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3" t="s">
        <v>413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414</v>
      </c>
      <c r="B3" s="169"/>
      <c r="C3" s="169"/>
      <c r="D3" s="169"/>
      <c r="E3" s="169"/>
      <c r="F3" s="169"/>
      <c r="G3" s="170"/>
    </row>
    <row r="4" spans="1:7" ht="14.25" x14ac:dyDescent="0.45">
      <c r="A4" s="168" t="s">
        <v>118</v>
      </c>
      <c r="B4" s="169"/>
      <c r="C4" s="169"/>
      <c r="D4" s="169"/>
      <c r="E4" s="169"/>
      <c r="F4" s="169"/>
      <c r="G4" s="170"/>
    </row>
    <row r="5" spans="1:7" ht="14.25" x14ac:dyDescent="0.45">
      <c r="A5" s="168" t="s">
        <v>415</v>
      </c>
      <c r="B5" s="169"/>
      <c r="C5" s="169"/>
      <c r="D5" s="169"/>
      <c r="E5" s="169"/>
      <c r="F5" s="169"/>
      <c r="G5" s="170"/>
    </row>
    <row r="6" spans="1:7" x14ac:dyDescent="0.25">
      <c r="A6" s="180" t="s">
        <v>3288</v>
      </c>
      <c r="B6" s="51">
        <f>ANIO1P</f>
        <v>2022</v>
      </c>
      <c r="C6" s="193" t="str">
        <f>ANIO2P</f>
        <v>2023 (d)</v>
      </c>
      <c r="D6" s="193" t="str">
        <f>ANIO3P</f>
        <v>2024 (d)</v>
      </c>
      <c r="E6" s="193" t="str">
        <f>ANIO4P</f>
        <v>2025 (d)</v>
      </c>
      <c r="F6" s="193" t="str">
        <f>ANIO5P</f>
        <v>2026 (d)</v>
      </c>
      <c r="G6" s="193" t="str">
        <f>ANIO6P</f>
        <v>2027 (d)</v>
      </c>
    </row>
    <row r="7" spans="1:7" ht="48" customHeight="1" x14ac:dyDescent="0.25">
      <c r="A7" s="181"/>
      <c r="B7" s="88" t="s">
        <v>3291</v>
      </c>
      <c r="C7" s="194"/>
      <c r="D7" s="194"/>
      <c r="E7" s="194"/>
      <c r="F7" s="194"/>
      <c r="G7" s="194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3" t="s">
        <v>451</v>
      </c>
      <c r="B1" s="183"/>
      <c r="C1" s="183"/>
      <c r="D1" s="183"/>
      <c r="E1" s="183"/>
      <c r="F1" s="183"/>
      <c r="G1" s="183"/>
    </row>
    <row r="2" spans="1:7" customFormat="1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customFormat="1" ht="14.25" x14ac:dyDescent="0.45">
      <c r="A3" s="168" t="s">
        <v>452</v>
      </c>
      <c r="B3" s="169"/>
      <c r="C3" s="169"/>
      <c r="D3" s="169"/>
      <c r="E3" s="169"/>
      <c r="F3" s="169"/>
      <c r="G3" s="170"/>
    </row>
    <row r="4" spans="1:7" customFormat="1" ht="14.25" x14ac:dyDescent="0.45">
      <c r="A4" s="168" t="s">
        <v>118</v>
      </c>
      <c r="B4" s="169"/>
      <c r="C4" s="169"/>
      <c r="D4" s="169"/>
      <c r="E4" s="169"/>
      <c r="F4" s="169"/>
      <c r="G4" s="170"/>
    </row>
    <row r="5" spans="1:7" customFormat="1" ht="14.25" x14ac:dyDescent="0.45">
      <c r="A5" s="168" t="s">
        <v>415</v>
      </c>
      <c r="B5" s="169"/>
      <c r="C5" s="169"/>
      <c r="D5" s="169"/>
      <c r="E5" s="169"/>
      <c r="F5" s="169"/>
      <c r="G5" s="170"/>
    </row>
    <row r="6" spans="1:7" customFormat="1" x14ac:dyDescent="0.25">
      <c r="A6" s="195" t="s">
        <v>3142</v>
      </c>
      <c r="B6" s="51">
        <f>ANIO1P</f>
        <v>2022</v>
      </c>
      <c r="C6" s="193" t="str">
        <f>ANIO2P</f>
        <v>2023 (d)</v>
      </c>
      <c r="D6" s="193" t="str">
        <f>ANIO3P</f>
        <v>2024 (d)</v>
      </c>
      <c r="E6" s="193" t="str">
        <f>ANIO4P</f>
        <v>2025 (d)</v>
      </c>
      <c r="F6" s="193" t="str">
        <f>ANIO5P</f>
        <v>2026 (d)</v>
      </c>
      <c r="G6" s="193" t="str">
        <f>ANIO6P</f>
        <v>2027 (d)</v>
      </c>
    </row>
    <row r="7" spans="1:7" customFormat="1" ht="48" customHeight="1" x14ac:dyDescent="0.25">
      <c r="A7" s="196"/>
      <c r="B7" s="88" t="s">
        <v>3291</v>
      </c>
      <c r="C7" s="194"/>
      <c r="D7" s="194"/>
      <c r="E7" s="194"/>
      <c r="F7" s="194"/>
      <c r="G7" s="194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3" t="s">
        <v>466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467</v>
      </c>
      <c r="B3" s="169"/>
      <c r="C3" s="169"/>
      <c r="D3" s="169"/>
      <c r="E3" s="169"/>
      <c r="F3" s="169"/>
      <c r="G3" s="170"/>
    </row>
    <row r="4" spans="1:7" ht="14.25" x14ac:dyDescent="0.4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0" t="s">
        <v>3288</v>
      </c>
      <c r="B5" s="198" t="str">
        <f>ANIO5R</f>
        <v>2016 ¹ (c)</v>
      </c>
      <c r="C5" s="198" t="str">
        <f>ANIO4R</f>
        <v>2017 ¹ (c)</v>
      </c>
      <c r="D5" s="198" t="str">
        <f>ANIO3R</f>
        <v>2018 ¹ (c)</v>
      </c>
      <c r="E5" s="198" t="str">
        <f>ANIO2R</f>
        <v>2019 ¹ (c)</v>
      </c>
      <c r="F5" s="198" t="str">
        <f>ANIO1R</f>
        <v>2020 ¹ (c)</v>
      </c>
      <c r="G5" s="51">
        <f>ANIO_INFORME</f>
        <v>2021</v>
      </c>
    </row>
    <row r="6" spans="1:7" ht="32.1" customHeight="1" x14ac:dyDescent="0.25">
      <c r="A6" s="201"/>
      <c r="B6" s="199"/>
      <c r="C6" s="199"/>
      <c r="D6" s="199"/>
      <c r="E6" s="199"/>
      <c r="F6" s="199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97" t="s">
        <v>3292</v>
      </c>
      <c r="B39" s="197"/>
      <c r="C39" s="197"/>
      <c r="D39" s="197"/>
      <c r="E39" s="197"/>
      <c r="F39" s="197"/>
      <c r="G39" s="197"/>
    </row>
    <row r="40" spans="1:7" ht="15" customHeight="1" x14ac:dyDescent="0.25">
      <c r="A40" s="197" t="s">
        <v>3293</v>
      </c>
      <c r="B40" s="197"/>
      <c r="C40" s="197"/>
      <c r="D40" s="197"/>
      <c r="E40" s="197"/>
      <c r="F40" s="197"/>
      <c r="G40" s="197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3" t="s">
        <v>490</v>
      </c>
      <c r="B1" s="183"/>
      <c r="C1" s="183"/>
      <c r="D1" s="183"/>
      <c r="E1" s="183"/>
      <c r="F1" s="183"/>
      <c r="G1" s="183"/>
    </row>
    <row r="2" spans="1:7" ht="14.25" x14ac:dyDescent="0.4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ht="14.25" x14ac:dyDescent="0.45">
      <c r="A3" s="168" t="s">
        <v>491</v>
      </c>
      <c r="B3" s="169"/>
      <c r="C3" s="169"/>
      <c r="D3" s="169"/>
      <c r="E3" s="169"/>
      <c r="F3" s="169"/>
      <c r="G3" s="170"/>
    </row>
    <row r="4" spans="1:7" ht="14.25" x14ac:dyDescent="0.4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2" t="s">
        <v>3142</v>
      </c>
      <c r="B5" s="198" t="str">
        <f>ANIO5R</f>
        <v>2016 ¹ (c)</v>
      </c>
      <c r="C5" s="198" t="str">
        <f>ANIO4R</f>
        <v>2017 ¹ (c)</v>
      </c>
      <c r="D5" s="198" t="str">
        <f>ANIO3R</f>
        <v>2018 ¹ (c)</v>
      </c>
      <c r="E5" s="198" t="str">
        <f>ANIO2R</f>
        <v>2019 ¹ (c)</v>
      </c>
      <c r="F5" s="198" t="str">
        <f>ANIO1R</f>
        <v>2020 ¹ (c)</v>
      </c>
      <c r="G5" s="51">
        <f>ANIO_INFORME</f>
        <v>2021</v>
      </c>
    </row>
    <row r="6" spans="1:7" ht="32.1" customHeight="1" x14ac:dyDescent="0.25">
      <c r="A6" s="203"/>
      <c r="B6" s="199"/>
      <c r="C6" s="199"/>
      <c r="D6" s="199"/>
      <c r="E6" s="199"/>
      <c r="F6" s="199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97" t="s">
        <v>3292</v>
      </c>
      <c r="B32" s="197"/>
      <c r="C32" s="197"/>
      <c r="D32" s="197"/>
      <c r="E32" s="197"/>
      <c r="F32" s="197"/>
      <c r="G32" s="197"/>
    </row>
    <row r="33" spans="1:7" x14ac:dyDescent="0.25">
      <c r="A33" s="197" t="s">
        <v>3293</v>
      </c>
      <c r="B33" s="197"/>
      <c r="C33" s="197"/>
      <c r="D33" s="197"/>
      <c r="E33" s="197"/>
      <c r="F33" s="197"/>
      <c r="G33" s="19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77" t="s">
        <v>495</v>
      </c>
      <c r="B1" s="177"/>
      <c r="C1" s="177"/>
      <c r="D1" s="177"/>
      <c r="E1" s="177"/>
      <c r="F1" s="177"/>
      <c r="G1" s="111"/>
    </row>
    <row r="2" spans="1:7" ht="14.25" x14ac:dyDescent="0.45">
      <c r="A2" s="165" t="str">
        <f>ENTE_PUBLICO</f>
        <v>MUNICIPIO DE TIERRA BLANCA, Gobierno del Estado de Guanajuato</v>
      </c>
      <c r="B2" s="166"/>
      <c r="C2" s="166"/>
      <c r="D2" s="166"/>
      <c r="E2" s="166"/>
      <c r="F2" s="167"/>
    </row>
    <row r="3" spans="1:7" ht="14.25" x14ac:dyDescent="0.45">
      <c r="A3" s="174" t="s">
        <v>496</v>
      </c>
      <c r="B3" s="175"/>
      <c r="C3" s="175"/>
      <c r="D3" s="175"/>
      <c r="E3" s="175"/>
      <c r="F3" s="176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zoomScale="80" zoomScaleNormal="80" workbookViewId="0">
      <selection activeCell="D68" sqref="D68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77" t="s">
        <v>545</v>
      </c>
      <c r="B1" s="177"/>
      <c r="C1" s="177"/>
      <c r="D1" s="177"/>
      <c r="E1" s="177"/>
      <c r="F1" s="177"/>
    </row>
    <row r="2" spans="1:6" ht="14.25" x14ac:dyDescent="0.45">
      <c r="A2" s="165" t="str">
        <f>ENTE_PUBLICO_A</f>
        <v>MUNICIPIO DE TIERRA BLANCA, Gobierno del Estado de Guanajuato (a)</v>
      </c>
      <c r="B2" s="166"/>
      <c r="C2" s="166"/>
      <c r="D2" s="166"/>
      <c r="E2" s="166"/>
      <c r="F2" s="167"/>
    </row>
    <row r="3" spans="1:6" x14ac:dyDescent="0.25">
      <c r="A3" s="168" t="s">
        <v>117</v>
      </c>
      <c r="B3" s="169"/>
      <c r="C3" s="169"/>
      <c r="D3" s="169"/>
      <c r="E3" s="169"/>
      <c r="F3" s="170"/>
    </row>
    <row r="4" spans="1:6" ht="14.25" x14ac:dyDescent="0.45">
      <c r="A4" s="171" t="str">
        <f>PERIODO_INFORME</f>
        <v>Al 31 de diciembre de 2020 y al 30 de junio de 2021 (b)</v>
      </c>
      <c r="B4" s="172"/>
      <c r="C4" s="172"/>
      <c r="D4" s="172"/>
      <c r="E4" s="172"/>
      <c r="F4" s="173"/>
    </row>
    <row r="5" spans="1:6" ht="14.25" x14ac:dyDescent="0.45">
      <c r="A5" s="174" t="s">
        <v>118</v>
      </c>
      <c r="B5" s="175"/>
      <c r="C5" s="175"/>
      <c r="D5" s="175"/>
      <c r="E5" s="175"/>
      <c r="F5" s="176"/>
    </row>
    <row r="6" spans="1:6" s="3" customFormat="1" ht="28.5" x14ac:dyDescent="0.45">
      <c r="A6" s="132" t="s">
        <v>3284</v>
      </c>
      <c r="B6" s="133" t="str">
        <f>ANIO</f>
        <v>2021 (d)</v>
      </c>
      <c r="C6" s="130" t="str">
        <f>ULTIMO</f>
        <v>31 de diciembre de 2020 (e)</v>
      </c>
      <c r="D6" s="134" t="s">
        <v>0</v>
      </c>
      <c r="E6" s="133" t="str">
        <f>ANIO</f>
        <v>2021 (d)</v>
      </c>
      <c r="F6" s="130" t="str">
        <f>ULTIMO</f>
        <v>31 de diciembre de 2020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37624560.690000005</v>
      </c>
      <c r="C9" s="60">
        <f>SUM(C10:C16)</f>
        <v>22135041.379999999</v>
      </c>
      <c r="D9" s="100" t="s">
        <v>54</v>
      </c>
      <c r="E9" s="60">
        <f>SUM(E10:E18)</f>
        <v>7195155.0700000003</v>
      </c>
      <c r="F9" s="60">
        <f>SUM(F10:F18)</f>
        <v>9407542.0500000007</v>
      </c>
    </row>
    <row r="10" spans="1:6" x14ac:dyDescent="0.25">
      <c r="A10" s="96" t="s">
        <v>4</v>
      </c>
      <c r="B10" s="149"/>
      <c r="C10" s="149"/>
      <c r="D10" s="101" t="s">
        <v>55</v>
      </c>
      <c r="E10" s="148">
        <v>2305344.61</v>
      </c>
      <c r="F10" s="148">
        <v>2328546.64</v>
      </c>
    </row>
    <row r="11" spans="1:6" x14ac:dyDescent="0.25">
      <c r="A11" s="96" t="s">
        <v>5</v>
      </c>
      <c r="B11" s="148">
        <v>37191821.770000003</v>
      </c>
      <c r="C11" s="148">
        <v>20190113.469999999</v>
      </c>
      <c r="D11" s="101" t="s">
        <v>56</v>
      </c>
      <c r="E11" s="148">
        <v>83004.22</v>
      </c>
      <c r="F11" s="148">
        <v>561958.17000000004</v>
      </c>
    </row>
    <row r="12" spans="1:6" x14ac:dyDescent="0.25">
      <c r="A12" s="96" t="s">
        <v>6</v>
      </c>
      <c r="B12" s="148">
        <v>210352.5</v>
      </c>
      <c r="C12" s="148">
        <v>196400.17</v>
      </c>
      <c r="D12" s="101" t="s">
        <v>57</v>
      </c>
      <c r="E12" s="148">
        <v>549113.06000000006</v>
      </c>
      <c r="F12" s="148">
        <v>555569.12</v>
      </c>
    </row>
    <row r="13" spans="1:6" x14ac:dyDescent="0.25">
      <c r="A13" s="96" t="s">
        <v>7</v>
      </c>
      <c r="B13" s="149"/>
      <c r="C13" s="149"/>
      <c r="D13" s="101" t="s">
        <v>58</v>
      </c>
      <c r="E13" s="149"/>
      <c r="F13" s="149"/>
    </row>
    <row r="14" spans="1:6" x14ac:dyDescent="0.25">
      <c r="A14" s="96" t="s">
        <v>8</v>
      </c>
      <c r="B14" s="148">
        <v>222386.42</v>
      </c>
      <c r="C14" s="148">
        <v>1748527.74</v>
      </c>
      <c r="D14" s="101" t="s">
        <v>59</v>
      </c>
      <c r="E14" s="148">
        <v>2625.01</v>
      </c>
      <c r="F14" s="148">
        <v>1217642.1599999999</v>
      </c>
    </row>
    <row r="15" spans="1:6" x14ac:dyDescent="0.25">
      <c r="A15" s="96" t="s">
        <v>9</v>
      </c>
      <c r="B15" s="149"/>
      <c r="C15" s="149"/>
      <c r="D15" s="101" t="s">
        <v>60</v>
      </c>
      <c r="E15" s="149"/>
      <c r="F15" s="149"/>
    </row>
    <row r="16" spans="1:6" x14ac:dyDescent="0.25">
      <c r="A16" s="96" t="s">
        <v>10</v>
      </c>
      <c r="B16" s="149"/>
      <c r="C16" s="149"/>
      <c r="D16" s="101" t="s">
        <v>61</v>
      </c>
      <c r="E16" s="148">
        <v>277805.89</v>
      </c>
      <c r="F16" s="148">
        <v>771308.96</v>
      </c>
    </row>
    <row r="17" spans="1:6" x14ac:dyDescent="0.25">
      <c r="A17" s="95" t="s">
        <v>11</v>
      </c>
      <c r="B17" s="60">
        <f>SUM(B18:B24)</f>
        <v>851718.78</v>
      </c>
      <c r="C17" s="60">
        <f>SUM(C18:C24)</f>
        <v>1430644.77</v>
      </c>
      <c r="D17" s="101" t="s">
        <v>62</v>
      </c>
      <c r="E17" s="149"/>
      <c r="F17" s="149"/>
    </row>
    <row r="18" spans="1:6" x14ac:dyDescent="0.25">
      <c r="A18" s="97" t="s">
        <v>12</v>
      </c>
      <c r="B18" s="149"/>
      <c r="C18" s="149"/>
      <c r="D18" s="101" t="s">
        <v>63</v>
      </c>
      <c r="E18" s="148">
        <v>3977262.28</v>
      </c>
      <c r="F18" s="148">
        <v>3972517</v>
      </c>
    </row>
    <row r="19" spans="1:6" x14ac:dyDescent="0.25">
      <c r="A19" s="97" t="s">
        <v>13</v>
      </c>
      <c r="B19" s="148">
        <v>430833.25</v>
      </c>
      <c r="C19" s="148">
        <v>431927.38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62563</v>
      </c>
      <c r="C20" s="148">
        <v>0</v>
      </c>
      <c r="D20" s="101" t="s">
        <v>65</v>
      </c>
      <c r="E20" s="60"/>
      <c r="F20" s="60"/>
    </row>
    <row r="21" spans="1:6" x14ac:dyDescent="0.25">
      <c r="A21" s="97" t="s">
        <v>15</v>
      </c>
      <c r="B21" s="149"/>
      <c r="C21" s="149"/>
      <c r="D21" s="101" t="s">
        <v>66</v>
      </c>
      <c r="E21" s="60"/>
      <c r="F21" s="60"/>
    </row>
    <row r="22" spans="1:6" x14ac:dyDescent="0.25">
      <c r="A22" s="97" t="s">
        <v>16</v>
      </c>
      <c r="B22" s="148">
        <v>20000</v>
      </c>
      <c r="C22" s="148">
        <v>0</v>
      </c>
      <c r="D22" s="101" t="s">
        <v>67</v>
      </c>
      <c r="E22" s="60"/>
      <c r="F22" s="60"/>
    </row>
    <row r="23" spans="1:6" x14ac:dyDescent="0.25">
      <c r="A23" s="97" t="s">
        <v>17</v>
      </c>
      <c r="B23" s="149"/>
      <c r="C23" s="149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8">
        <v>338322.53</v>
      </c>
      <c r="C24" s="148">
        <v>998717.39</v>
      </c>
      <c r="D24" s="101" t="s">
        <v>69</v>
      </c>
      <c r="E24" s="60"/>
      <c r="F24" s="60"/>
    </row>
    <row r="25" spans="1:6" x14ac:dyDescent="0.25">
      <c r="A25" s="95" t="s">
        <v>19</v>
      </c>
      <c r="B25" s="60">
        <f>SUM(B26:B30)</f>
        <v>3875475.7</v>
      </c>
      <c r="C25" s="149">
        <f>SUM(C26:C30)</f>
        <v>2101551.29</v>
      </c>
      <c r="D25" s="101" t="s">
        <v>70</v>
      </c>
      <c r="E25" s="60"/>
      <c r="F25" s="60"/>
    </row>
    <row r="26" spans="1:6" x14ac:dyDescent="0.25">
      <c r="A26" s="97" t="s">
        <v>20</v>
      </c>
      <c r="B26" s="148">
        <v>111071.99</v>
      </c>
      <c r="C26" s="148">
        <v>107800</v>
      </c>
      <c r="D26" s="100" t="s">
        <v>71</v>
      </c>
      <c r="E26" s="60"/>
      <c r="F26" s="60"/>
    </row>
    <row r="27" spans="1:6" x14ac:dyDescent="0.25">
      <c r="A27" s="97" t="s">
        <v>21</v>
      </c>
      <c r="B27" s="149"/>
      <c r="C27" s="149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49"/>
      <c r="C28" s="149"/>
      <c r="D28" s="101" t="s">
        <v>73</v>
      </c>
      <c r="E28" s="60"/>
      <c r="F28" s="60"/>
    </row>
    <row r="29" spans="1:6" x14ac:dyDescent="0.25">
      <c r="A29" s="97" t="s">
        <v>23</v>
      </c>
      <c r="B29" s="148">
        <v>3764403.71</v>
      </c>
      <c r="C29" s="148">
        <v>1993751.29</v>
      </c>
      <c r="D29" s="101" t="s">
        <v>74</v>
      </c>
      <c r="E29" s="60"/>
      <c r="F29" s="60"/>
    </row>
    <row r="30" spans="1:6" x14ac:dyDescent="0.25">
      <c r="A30" s="97" t="s">
        <v>24</v>
      </c>
      <c r="B30" s="149"/>
      <c r="C30" s="149"/>
      <c r="D30" s="101" t="s">
        <v>75</v>
      </c>
      <c r="E30" s="60"/>
      <c r="F30" s="60"/>
    </row>
    <row r="31" spans="1:6" x14ac:dyDescent="0.25">
      <c r="A31" s="95" t="s">
        <v>25</v>
      </c>
      <c r="B31" s="149"/>
      <c r="C31" s="149"/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149"/>
      <c r="C32" s="149"/>
      <c r="D32" s="101" t="s">
        <v>77</v>
      </c>
      <c r="E32" s="60"/>
      <c r="F32" s="60"/>
    </row>
    <row r="33" spans="1:6" x14ac:dyDescent="0.25">
      <c r="A33" s="97" t="s">
        <v>27</v>
      </c>
      <c r="B33" s="148">
        <v>0</v>
      </c>
      <c r="C33" s="148">
        <v>0</v>
      </c>
      <c r="D33" s="101" t="s">
        <v>78</v>
      </c>
      <c r="E33" s="60"/>
      <c r="F33" s="60"/>
    </row>
    <row r="34" spans="1:6" x14ac:dyDescent="0.25">
      <c r="A34" s="97" t="s">
        <v>28</v>
      </c>
      <c r="B34" s="149"/>
      <c r="C34" s="149"/>
      <c r="D34" s="101" t="s">
        <v>79</v>
      </c>
      <c r="E34" s="60"/>
      <c r="F34" s="60"/>
    </row>
    <row r="35" spans="1:6" x14ac:dyDescent="0.25">
      <c r="A35" s="97" t="s">
        <v>29</v>
      </c>
      <c r="B35" s="149"/>
      <c r="C35" s="149"/>
      <c r="D35" s="101" t="s">
        <v>80</v>
      </c>
      <c r="E35" s="60"/>
      <c r="F35" s="60"/>
    </row>
    <row r="36" spans="1:6" x14ac:dyDescent="0.25">
      <c r="A36" s="97" t="s">
        <v>30</v>
      </c>
      <c r="B36" s="149"/>
      <c r="C36" s="149"/>
      <c r="D36" s="101" t="s">
        <v>81</v>
      </c>
      <c r="E36" s="60"/>
      <c r="F36" s="60"/>
    </row>
    <row r="37" spans="1:6" x14ac:dyDescent="0.25">
      <c r="A37" s="95" t="s">
        <v>31</v>
      </c>
      <c r="B37" s="148">
        <v>17550</v>
      </c>
      <c r="C37" s="148">
        <v>17550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B9+B17+B25+B31+B38+B41+B37</f>
        <v>42369305.170000009</v>
      </c>
      <c r="C47" s="150">
        <f>C9+C17+C25+C31+C38+C41+C37</f>
        <v>25684787.439999998</v>
      </c>
      <c r="D47" s="99" t="s">
        <v>91</v>
      </c>
      <c r="E47" s="61">
        <f>E9+E19+E23+E26+E27+E31+E38+E42</f>
        <v>7195155.0700000003</v>
      </c>
      <c r="F47" s="61">
        <f>F9+F19+F23+F26+F27+F31+F38+F42</f>
        <v>9407542.0500000007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8">
        <v>18236.63</v>
      </c>
      <c r="C50" s="148">
        <v>18236.63</v>
      </c>
      <c r="D50" s="100" t="s">
        <v>93</v>
      </c>
      <c r="E50" s="60"/>
      <c r="F50" s="60"/>
    </row>
    <row r="51" spans="1:6" x14ac:dyDescent="0.25">
      <c r="A51" s="95" t="s">
        <v>42</v>
      </c>
      <c r="B51" s="148">
        <v>332941879.75</v>
      </c>
      <c r="C51" s="148">
        <v>326940429.60000002</v>
      </c>
      <c r="D51" s="100" t="s">
        <v>94</v>
      </c>
      <c r="E51" s="60"/>
      <c r="F51" s="60"/>
    </row>
    <row r="52" spans="1:6" x14ac:dyDescent="0.25">
      <c r="A52" s="95" t="s">
        <v>43</v>
      </c>
      <c r="B52" s="148">
        <v>20780976.800000001</v>
      </c>
      <c r="C52" s="148">
        <v>20716686.789999999</v>
      </c>
      <c r="D52" s="100" t="s">
        <v>95</v>
      </c>
      <c r="E52" s="60"/>
      <c r="F52" s="148">
        <v>186050</v>
      </c>
    </row>
    <row r="53" spans="1:6" x14ac:dyDescent="0.25">
      <c r="A53" s="95" t="s">
        <v>44</v>
      </c>
      <c r="B53" s="148">
        <v>387224.3</v>
      </c>
      <c r="C53" s="148">
        <v>387224.3</v>
      </c>
      <c r="D53" s="100" t="s">
        <v>96</v>
      </c>
      <c r="E53" s="60"/>
      <c r="F53" s="60"/>
    </row>
    <row r="54" spans="1:6" x14ac:dyDescent="0.25">
      <c r="A54" s="95" t="s">
        <v>45</v>
      </c>
      <c r="B54" s="148">
        <v>-8298431.4400000004</v>
      </c>
      <c r="C54" s="148">
        <v>-8298431.4400000004</v>
      </c>
      <c r="D54" s="100" t="s">
        <v>97</v>
      </c>
      <c r="E54" s="60"/>
      <c r="F54" s="60"/>
    </row>
    <row r="55" spans="1:6" x14ac:dyDescent="0.25">
      <c r="A55" s="95" t="s">
        <v>46</v>
      </c>
      <c r="B55" s="148">
        <v>12904510.73</v>
      </c>
      <c r="C55" s="148">
        <v>12661580.1</v>
      </c>
      <c r="D55" s="37" t="s">
        <v>98</v>
      </c>
      <c r="E55" s="60"/>
      <c r="F55" s="60"/>
    </row>
    <row r="56" spans="1:6" x14ac:dyDescent="0.25">
      <c r="A56" s="95" t="s">
        <v>47</v>
      </c>
      <c r="B56" s="148">
        <v>0</v>
      </c>
      <c r="C56" s="148">
        <v>0</v>
      </c>
      <c r="D56" s="54"/>
      <c r="E56" s="54"/>
      <c r="F56" s="54"/>
    </row>
    <row r="57" spans="1:6" x14ac:dyDescent="0.25">
      <c r="A57" s="95" t="s">
        <v>48</v>
      </c>
      <c r="B57" s="148">
        <v>0</v>
      </c>
      <c r="C57" s="148">
        <v>0</v>
      </c>
      <c r="D57" s="99" t="s">
        <v>99</v>
      </c>
      <c r="E57" s="61">
        <f>SUM(E50:E55)</f>
        <v>0</v>
      </c>
      <c r="F57" s="61">
        <f>SUM(F50:F55)</f>
        <v>186050</v>
      </c>
    </row>
    <row r="58" spans="1:6" x14ac:dyDescent="0.25">
      <c r="A58" s="95" t="s">
        <v>49</v>
      </c>
      <c r="B58" s="149"/>
      <c r="C58" s="149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7195155.0700000003</v>
      </c>
      <c r="F59" s="61">
        <f>F47+F57</f>
        <v>9593592.0500000007</v>
      </c>
    </row>
    <row r="60" spans="1:6" x14ac:dyDescent="0.25">
      <c r="A60" s="55" t="s">
        <v>50</v>
      </c>
      <c r="B60" s="61">
        <f>SUM(B50:B58)</f>
        <v>358734396.77000004</v>
      </c>
      <c r="C60" s="61">
        <f>SUM(C50:C58)</f>
        <v>352425725.98000008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401103701.94000006</v>
      </c>
      <c r="C62" s="61">
        <f>SUM(C47+C60)</f>
        <v>378110513.42000008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18704088.579999998</v>
      </c>
      <c r="F63" s="77">
        <f>SUM(F64:F66)</f>
        <v>18704088.579999998</v>
      </c>
    </row>
    <row r="64" spans="1:6" x14ac:dyDescent="0.25">
      <c r="A64" s="54"/>
      <c r="B64" s="54"/>
      <c r="C64" s="54"/>
      <c r="D64" s="103" t="s">
        <v>103</v>
      </c>
      <c r="E64" s="148">
        <v>18583052.469999999</v>
      </c>
      <c r="F64" s="148">
        <v>18583052.469999999</v>
      </c>
    </row>
    <row r="65" spans="1:6" x14ac:dyDescent="0.25">
      <c r="A65" s="54"/>
      <c r="B65" s="54"/>
      <c r="C65" s="54"/>
      <c r="D65" s="41" t="s">
        <v>104</v>
      </c>
      <c r="E65" s="148">
        <v>121036.11</v>
      </c>
      <c r="F65" s="148">
        <v>121036.11</v>
      </c>
    </row>
    <row r="66" spans="1:6" x14ac:dyDescent="0.25">
      <c r="A66" s="54"/>
      <c r="B66" s="54"/>
      <c r="C66" s="54"/>
      <c r="D66" s="103" t="s">
        <v>105</v>
      </c>
      <c r="E66" s="148">
        <v>0</v>
      </c>
      <c r="F66" s="148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375204458.29000002</v>
      </c>
      <c r="F68" s="77">
        <f>SUM(F69:F73)</f>
        <v>349812832.79000002</v>
      </c>
    </row>
    <row r="69" spans="1:6" x14ac:dyDescent="0.25">
      <c r="A69" s="12"/>
      <c r="B69" s="54"/>
      <c r="C69" s="54"/>
      <c r="D69" s="103" t="s">
        <v>107</v>
      </c>
      <c r="E69" s="148">
        <v>25212111.850000001</v>
      </c>
      <c r="F69" s="148">
        <v>30806857.68</v>
      </c>
    </row>
    <row r="70" spans="1:6" x14ac:dyDescent="0.25">
      <c r="A70" s="12"/>
      <c r="B70" s="54"/>
      <c r="C70" s="54"/>
      <c r="D70" s="103" t="s">
        <v>108</v>
      </c>
      <c r="E70" s="148">
        <v>349992346.44</v>
      </c>
      <c r="F70" s="148">
        <v>319005975.11000001</v>
      </c>
    </row>
    <row r="71" spans="1:6" x14ac:dyDescent="0.25">
      <c r="A71" s="12"/>
      <c r="B71" s="54"/>
      <c r="C71" s="54"/>
      <c r="D71" s="103" t="s">
        <v>109</v>
      </c>
      <c r="E71" s="148">
        <v>0</v>
      </c>
      <c r="F71" s="148">
        <v>0</v>
      </c>
    </row>
    <row r="72" spans="1:6" x14ac:dyDescent="0.25">
      <c r="A72" s="12"/>
      <c r="B72" s="54"/>
      <c r="C72" s="54"/>
      <c r="D72" s="103" t="s">
        <v>110</v>
      </c>
      <c r="E72" s="148">
        <v>0</v>
      </c>
      <c r="F72" s="148">
        <v>0</v>
      </c>
    </row>
    <row r="73" spans="1:6" x14ac:dyDescent="0.25">
      <c r="A73" s="12"/>
      <c r="B73" s="54"/>
      <c r="C73" s="54"/>
      <c r="D73" s="103" t="s">
        <v>111</v>
      </c>
      <c r="E73" s="148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393908546.87</v>
      </c>
      <c r="F79" s="61">
        <f>F63+F68+F75</f>
        <v>368516921.37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401103701.94</v>
      </c>
      <c r="F81" s="61">
        <f>F59+F79</f>
        <v>378110513.42000002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37624560.690000005</v>
      </c>
      <c r="Q4" s="18">
        <f>'Formato 1'!C9</f>
        <v>22135041.379999999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37191821.770000003</v>
      </c>
      <c r="Q6" s="18">
        <f>'Formato 1'!C11</f>
        <v>20190113.469999999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210352.5</v>
      </c>
      <c r="Q7" s="18">
        <f>'Formato 1'!C12</f>
        <v>196400.17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222386.42</v>
      </c>
      <c r="Q9" s="18">
        <f>'Formato 1'!C14</f>
        <v>1748527.74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851718.78</v>
      </c>
      <c r="Q12" s="18">
        <f>'Formato 1'!C17</f>
        <v>1430644.77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430833.25</v>
      </c>
      <c r="Q14" s="18">
        <f>'Formato 1'!C19</f>
        <v>431927.38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62563</v>
      </c>
      <c r="Q15" s="18">
        <f>'Formato 1'!C20</f>
        <v>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20000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338322.53</v>
      </c>
      <c r="Q19" s="18">
        <f>'Formato 1'!C24</f>
        <v>998717.39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3875475.7</v>
      </c>
      <c r="Q20" s="18">
        <f>'Formato 1'!C25</f>
        <v>2101551.29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111071.99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3764403.71</v>
      </c>
      <c r="Q24" s="18">
        <f>'Formato 1'!C29</f>
        <v>1993751.29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42369305.170000009</v>
      </c>
      <c r="Q42" s="18">
        <f>'Formato 1'!C47</f>
        <v>25684787.439999998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18236.63</v>
      </c>
      <c r="Q44">
        <f>'Formato 1'!C50</f>
        <v>18236.63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332941879.75</v>
      </c>
      <c r="Q45">
        <f>'Formato 1'!C51</f>
        <v>326940429.60000002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20780976.800000001</v>
      </c>
      <c r="Q46">
        <f>'Formato 1'!C52</f>
        <v>20716686.789999999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387224.3</v>
      </c>
      <c r="Q47">
        <f>'Formato 1'!C53</f>
        <v>387224.3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-8298431.4400000004</v>
      </c>
      <c r="Q48">
        <f>'Formato 1'!C54</f>
        <v>-8298431.4400000004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12904510.73</v>
      </c>
      <c r="Q49">
        <f>'Formato 1'!C55</f>
        <v>12661580.1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358734396.77000004</v>
      </c>
      <c r="Q53">
        <f>'Formato 1'!C60</f>
        <v>352425725.98000008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401103701.94000006</v>
      </c>
      <c r="Q54">
        <f>'Formato 1'!C62</f>
        <v>378110513.42000008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7195155.0700000003</v>
      </c>
      <c r="Q57">
        <f>'Formato 1'!F9</f>
        <v>9407542.0500000007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2305344.61</v>
      </c>
      <c r="Q58">
        <f>'Formato 1'!F10</f>
        <v>2328546.64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83004.22</v>
      </c>
      <c r="Q59">
        <f>'Formato 1'!F11</f>
        <v>561958.17000000004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549113.06000000006</v>
      </c>
      <c r="Q60">
        <f>'Formato 1'!F12</f>
        <v>555569.12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2625.01</v>
      </c>
      <c r="Q62">
        <f>'Formato 1'!F14</f>
        <v>1217642.1599999999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277805.89</v>
      </c>
      <c r="Q64">
        <f>'Formato 1'!F16</f>
        <v>771308.96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3977262.28</v>
      </c>
      <c r="Q66">
        <f>'Formato 1'!F18</f>
        <v>3972517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7195155.0700000003</v>
      </c>
      <c r="Q95">
        <f>'Formato 1'!F47</f>
        <v>9407542.0500000007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186050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7195155.0700000003</v>
      </c>
      <c r="Q104">
        <f>'Formato 1'!F59</f>
        <v>9593592.0500000007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375204458.29000002</v>
      </c>
      <c r="Q110">
        <f>'Formato 1'!F68</f>
        <v>349812832.79000002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25212111.850000001</v>
      </c>
      <c r="Q111">
        <f>'Formato 1'!F69</f>
        <v>30806857.68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349992346.44</v>
      </c>
      <c r="Q112">
        <f>'Formato 1'!F70</f>
        <v>319005975.11000001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393908546.87</v>
      </c>
      <c r="Q119">
        <f>'Formato 1'!F79</f>
        <v>368516921.37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401103701.94</v>
      </c>
      <c r="Q120">
        <f>'Formato 1'!F81</f>
        <v>378110513.42000002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10" zoomScale="60" zoomScaleNormal="60" workbookViewId="0">
      <selection activeCell="G24" sqref="G24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9" t="s">
        <v>544</v>
      </c>
      <c r="B1" s="179"/>
      <c r="C1" s="179"/>
      <c r="D1" s="179"/>
      <c r="E1" s="179"/>
      <c r="F1" s="179"/>
      <c r="G1" s="179"/>
      <c r="H1" s="179"/>
    </row>
    <row r="2" spans="1:9" ht="14.25" x14ac:dyDescent="0.45">
      <c r="A2" s="165" t="str">
        <f>ENTE_PUBLICO_A</f>
        <v>MUNICIPIO DE TIERRA BLANCA, Gobierno del Estado de Guanajuato (a)</v>
      </c>
      <c r="B2" s="166"/>
      <c r="C2" s="166"/>
      <c r="D2" s="166"/>
      <c r="E2" s="166"/>
      <c r="F2" s="166"/>
      <c r="G2" s="166"/>
      <c r="H2" s="167"/>
    </row>
    <row r="3" spans="1:9" x14ac:dyDescent="0.25">
      <c r="A3" s="168" t="s">
        <v>120</v>
      </c>
      <c r="B3" s="169"/>
      <c r="C3" s="169"/>
      <c r="D3" s="169"/>
      <c r="E3" s="169"/>
      <c r="F3" s="169"/>
      <c r="G3" s="169"/>
      <c r="H3" s="170"/>
    </row>
    <row r="4" spans="1:9" ht="14.25" x14ac:dyDescent="0.45">
      <c r="A4" s="171" t="str">
        <f>PERIODO_INFORME</f>
        <v>Al 31 de diciembre de 2020 y al 30 de junio de 2021 (b)</v>
      </c>
      <c r="B4" s="172"/>
      <c r="C4" s="172"/>
      <c r="D4" s="172"/>
      <c r="E4" s="172"/>
      <c r="F4" s="172"/>
      <c r="G4" s="172"/>
      <c r="H4" s="173"/>
    </row>
    <row r="5" spans="1:9" ht="14.25" x14ac:dyDescent="0.45">
      <c r="A5" s="174" t="s">
        <v>118</v>
      </c>
      <c r="B5" s="175"/>
      <c r="C5" s="175"/>
      <c r="D5" s="175"/>
      <c r="E5" s="175"/>
      <c r="F5" s="175"/>
      <c r="G5" s="175"/>
      <c r="H5" s="176"/>
    </row>
    <row r="6" spans="1:9" ht="45" x14ac:dyDescent="0.25">
      <c r="A6" s="104" t="s">
        <v>121</v>
      </c>
      <c r="B6" s="105" t="str">
        <f>ULTIMO_SALDO</f>
        <v>Saldo al 31 de diciembre de 2020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186050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186050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186050</v>
      </c>
      <c r="C13" s="60">
        <f t="shared" ref="C13:F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186050</v>
      </c>
      <c r="G13" s="60"/>
      <c r="H13" s="60"/>
    </row>
    <row r="14" spans="1:9" x14ac:dyDescent="0.25">
      <c r="A14" s="108" t="s">
        <v>133</v>
      </c>
      <c r="B14" s="148">
        <v>186050</v>
      </c>
      <c r="C14" s="60"/>
      <c r="D14" s="60"/>
      <c r="E14" s="60"/>
      <c r="F14" s="149">
        <f>B14+C14-D14+E14</f>
        <v>186050</v>
      </c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/>
      <c r="C18" s="131"/>
      <c r="D18" s="131"/>
      <c r="E18" s="131"/>
      <c r="F18" s="61"/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186050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186050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78" t="s">
        <v>3300</v>
      </c>
      <c r="B33" s="178"/>
      <c r="C33" s="178"/>
      <c r="D33" s="178"/>
      <c r="E33" s="178"/>
      <c r="F33" s="178"/>
      <c r="G33" s="178"/>
      <c r="H33" s="178"/>
    </row>
    <row r="34" spans="1:8" ht="12" customHeight="1" x14ac:dyDescent="0.25">
      <c r="A34" s="178"/>
      <c r="B34" s="178"/>
      <c r="C34" s="178"/>
      <c r="D34" s="178"/>
      <c r="E34" s="178"/>
      <c r="F34" s="178"/>
      <c r="G34" s="178"/>
      <c r="H34" s="178"/>
    </row>
    <row r="35" spans="1:8" ht="12" customHeight="1" x14ac:dyDescent="0.25">
      <c r="A35" s="178"/>
      <c r="B35" s="178"/>
      <c r="C35" s="178"/>
      <c r="D35" s="178"/>
      <c r="E35" s="178"/>
      <c r="F35" s="178"/>
      <c r="G35" s="178"/>
      <c r="H35" s="178"/>
    </row>
    <row r="36" spans="1:8" ht="12" customHeight="1" x14ac:dyDescent="0.25">
      <c r="A36" s="178"/>
      <c r="B36" s="178"/>
      <c r="C36" s="178"/>
      <c r="D36" s="178"/>
      <c r="E36" s="178"/>
      <c r="F36" s="178"/>
      <c r="G36" s="178"/>
      <c r="H36" s="178"/>
    </row>
    <row r="37" spans="1:8" ht="12" customHeight="1" x14ac:dyDescent="0.25">
      <c r="A37" s="178"/>
      <c r="B37" s="178"/>
      <c r="C37" s="178"/>
      <c r="D37" s="178"/>
      <c r="E37" s="178"/>
      <c r="F37" s="178"/>
      <c r="G37" s="178"/>
      <c r="H37" s="178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C8:H30 B30 B8:B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186050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186050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186050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186050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70" zoomScaleNormal="70" workbookViewId="0">
      <selection activeCell="J15" sqref="J15:J18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77" t="s">
        <v>543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11"/>
    </row>
    <row r="2" spans="1:12" ht="14.25" x14ac:dyDescent="0.45">
      <c r="A2" s="165" t="str">
        <f>ENTE_PUBLICO_A</f>
        <v>MUNICIPIO DE TIERRA BLANCA, Gobierno del Estado de Guanajuato (a)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2" x14ac:dyDescent="0.25">
      <c r="A3" s="168" t="s">
        <v>146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2" ht="14.25" x14ac:dyDescent="0.45">
      <c r="A4" s="171" t="str">
        <f>TRIMESTRE</f>
        <v>Del 1 de enero al 30 de junio de 2021 (b)</v>
      </c>
      <c r="B4" s="172"/>
      <c r="C4" s="172"/>
      <c r="D4" s="172"/>
      <c r="E4" s="172"/>
      <c r="F4" s="172"/>
      <c r="G4" s="172"/>
      <c r="H4" s="172"/>
      <c r="I4" s="172"/>
      <c r="J4" s="172"/>
      <c r="K4" s="173"/>
    </row>
    <row r="5" spans="1:12" ht="14.25" x14ac:dyDescent="0.45">
      <c r="A5" s="168" t="s">
        <v>118</v>
      </c>
      <c r="B5" s="169"/>
      <c r="C5" s="169"/>
      <c r="D5" s="169"/>
      <c r="E5" s="169"/>
      <c r="F5" s="169"/>
      <c r="G5" s="169"/>
      <c r="H5" s="169"/>
      <c r="I5" s="169"/>
      <c r="J5" s="169"/>
      <c r="K5" s="170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junio de 2021 (k)</v>
      </c>
      <c r="J6" s="130" t="str">
        <f>MONTO2</f>
        <v>Monto pagado de la inversión actualizado al 30 de junio de 2021 (l)</v>
      </c>
      <c r="K6" s="130" t="str">
        <f>SALDO_PENDIENTE</f>
        <v>Saldo pendiente por pagar de la inversión al 30 de junio de 2021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2021-07-21T21:42:12Z</dcterms:modified>
</cp:coreProperties>
</file>