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1. CUENTA PÚBLICA Y REPORTES TRIMESTRALES 2018-2021\CUENTA PUBLICA 2022\3ER TRIMESTRE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0490" windowHeight="7755" firstSheet="19" activeTab="29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9" l="1"/>
  <c r="D12" i="9"/>
  <c r="D13" i="9"/>
  <c r="D14" i="9"/>
  <c r="D15" i="9"/>
  <c r="D16" i="9"/>
  <c r="D17" i="9"/>
  <c r="D18" i="9"/>
  <c r="D19" i="9"/>
  <c r="G53" i="8"/>
  <c r="F53" i="8"/>
  <c r="E53" i="8"/>
  <c r="D53" i="8"/>
  <c r="C53" i="8"/>
  <c r="B53" i="8"/>
  <c r="C44" i="8"/>
  <c r="C27" i="8"/>
  <c r="C19" i="8"/>
  <c r="C10" i="8"/>
  <c r="G70" i="8"/>
  <c r="G69" i="8"/>
  <c r="G68" i="8"/>
  <c r="G67" i="8"/>
  <c r="G66" i="8"/>
  <c r="G65" i="8"/>
  <c r="G64" i="8"/>
  <c r="G63" i="8"/>
  <c r="G62" i="8"/>
  <c r="D70" i="8"/>
  <c r="D69" i="8"/>
  <c r="D68" i="8"/>
  <c r="D67" i="8"/>
  <c r="D66" i="8"/>
  <c r="D65" i="8"/>
  <c r="D64" i="8"/>
  <c r="D63" i="8"/>
  <c r="D62" i="8"/>
  <c r="G60" i="8"/>
  <c r="G59" i="8"/>
  <c r="G58" i="8"/>
  <c r="G57" i="8"/>
  <c r="G56" i="8"/>
  <c r="G55" i="8"/>
  <c r="G54" i="8"/>
  <c r="D60" i="8"/>
  <c r="D59" i="8"/>
  <c r="D58" i="8"/>
  <c r="D57" i="8"/>
  <c r="D56" i="8"/>
  <c r="D55" i="8"/>
  <c r="D54" i="8"/>
  <c r="G52" i="8"/>
  <c r="G51" i="8"/>
  <c r="G50" i="8"/>
  <c r="G49" i="8"/>
  <c r="G48" i="8"/>
  <c r="G47" i="8"/>
  <c r="G46" i="8"/>
  <c r="G45" i="8"/>
  <c r="D52" i="8"/>
  <c r="D51" i="8"/>
  <c r="D50" i="8"/>
  <c r="D49" i="8"/>
  <c r="D48" i="8"/>
  <c r="D47" i="8"/>
  <c r="D46" i="8"/>
  <c r="D45" i="8"/>
  <c r="G36" i="8"/>
  <c r="G35" i="8"/>
  <c r="G34" i="8"/>
  <c r="G33" i="8"/>
  <c r="G32" i="8"/>
  <c r="G31" i="8"/>
  <c r="G30" i="8"/>
  <c r="G29" i="8"/>
  <c r="G28" i="8"/>
  <c r="D36" i="8"/>
  <c r="D35" i="8"/>
  <c r="D34" i="8"/>
  <c r="D33" i="8"/>
  <c r="D32" i="8"/>
  <c r="D31" i="8"/>
  <c r="D30" i="8"/>
  <c r="D29" i="8"/>
  <c r="D28" i="8"/>
  <c r="G26" i="8"/>
  <c r="G25" i="8"/>
  <c r="G24" i="8"/>
  <c r="G23" i="8"/>
  <c r="G22" i="8"/>
  <c r="G21" i="8"/>
  <c r="G20" i="8"/>
  <c r="D26" i="8"/>
  <c r="D25" i="8"/>
  <c r="D24" i="8"/>
  <c r="D23" i="8"/>
  <c r="D22" i="8"/>
  <c r="D21" i="8"/>
  <c r="D20" i="8"/>
  <c r="G18" i="8"/>
  <c r="G17" i="8"/>
  <c r="G16" i="8"/>
  <c r="G15" i="8"/>
  <c r="G14" i="8"/>
  <c r="G13" i="8"/>
  <c r="G12" i="8"/>
  <c r="G11" i="8"/>
  <c r="D18" i="8"/>
  <c r="D17" i="8"/>
  <c r="D16" i="8"/>
  <c r="D15" i="8"/>
  <c r="D14" i="8"/>
  <c r="D13" i="8"/>
  <c r="D12" i="8"/>
  <c r="D11" i="8"/>
  <c r="G27" i="7"/>
  <c r="G26" i="7"/>
  <c r="G25" i="7"/>
  <c r="G24" i="7"/>
  <c r="G23" i="7"/>
  <c r="G22" i="7"/>
  <c r="G21" i="7"/>
  <c r="G20" i="7"/>
  <c r="D27" i="7"/>
  <c r="D26" i="7"/>
  <c r="D25" i="7"/>
  <c r="D24" i="7"/>
  <c r="D23" i="7"/>
  <c r="D22" i="7"/>
  <c r="D21" i="7"/>
  <c r="D20" i="7"/>
  <c r="D17" i="7"/>
  <c r="D16" i="7"/>
  <c r="D15" i="7"/>
  <c r="D14" i="7"/>
  <c r="D13" i="7"/>
  <c r="D12" i="7"/>
  <c r="D11" i="7"/>
  <c r="D10" i="7"/>
  <c r="D58" i="6" l="1"/>
  <c r="E58" i="6"/>
  <c r="F58" i="6"/>
  <c r="G58" i="6"/>
  <c r="D48" i="6"/>
  <c r="E48" i="6"/>
  <c r="F48" i="6"/>
  <c r="G48" i="6"/>
  <c r="C58" i="6"/>
  <c r="C9" i="6" s="1"/>
  <c r="C48" i="6"/>
  <c r="D149" i="6"/>
  <c r="G149" i="6" s="1"/>
  <c r="D148" i="6"/>
  <c r="G148" i="6" s="1"/>
  <c r="D147" i="6"/>
  <c r="G147" i="6" s="1"/>
  <c r="D145" i="6"/>
  <c r="G145" i="6" s="1"/>
  <c r="D144" i="6"/>
  <c r="G144" i="6" s="1"/>
  <c r="D143" i="6"/>
  <c r="G143" i="6" s="1"/>
  <c r="D142" i="6"/>
  <c r="G142" i="6" s="1"/>
  <c r="D141" i="6"/>
  <c r="G141" i="6" s="1"/>
  <c r="D140" i="6"/>
  <c r="G140" i="6" s="1"/>
  <c r="D139" i="6"/>
  <c r="G139" i="6" s="1"/>
  <c r="D138" i="6"/>
  <c r="G138" i="6" s="1"/>
  <c r="D136" i="6"/>
  <c r="G136" i="6" s="1"/>
  <c r="D135" i="6"/>
  <c r="G135" i="6" s="1"/>
  <c r="D134" i="6"/>
  <c r="G134" i="6" s="1"/>
  <c r="D132" i="6"/>
  <c r="G132" i="6" s="1"/>
  <c r="D131" i="6"/>
  <c r="G131" i="6" s="1"/>
  <c r="D130" i="6"/>
  <c r="G130" i="6" s="1"/>
  <c r="D129" i="6"/>
  <c r="G129" i="6" s="1"/>
  <c r="D128" i="6"/>
  <c r="G128" i="6" s="1"/>
  <c r="D127" i="6"/>
  <c r="G127" i="6" s="1"/>
  <c r="D126" i="6"/>
  <c r="G126" i="6" s="1"/>
  <c r="D125" i="6"/>
  <c r="G125" i="6" s="1"/>
  <c r="D124" i="6"/>
  <c r="G124" i="6" s="1"/>
  <c r="D122" i="6"/>
  <c r="G122" i="6" s="1"/>
  <c r="D117" i="6"/>
  <c r="G117" i="6" s="1"/>
  <c r="D116" i="6"/>
  <c r="G116" i="6" s="1"/>
  <c r="D115" i="6"/>
  <c r="G115" i="6" s="1"/>
  <c r="D114" i="6"/>
  <c r="G114" i="6" s="1"/>
  <c r="D112" i="6"/>
  <c r="G112" i="6" s="1"/>
  <c r="D111" i="6"/>
  <c r="G111" i="6" s="1"/>
  <c r="D110" i="6"/>
  <c r="G110" i="6" s="1"/>
  <c r="D109" i="6"/>
  <c r="G109" i="6" s="1"/>
  <c r="D108" i="6"/>
  <c r="G108" i="6" s="1"/>
  <c r="D107" i="6"/>
  <c r="G107" i="6" s="1"/>
  <c r="D106" i="6"/>
  <c r="G106" i="6" s="1"/>
  <c r="D105" i="6"/>
  <c r="G105" i="6" s="1"/>
  <c r="D104" i="6"/>
  <c r="G104" i="6" s="1"/>
  <c r="D102" i="6"/>
  <c r="G102" i="6" s="1"/>
  <c r="D101" i="6"/>
  <c r="G101" i="6" s="1"/>
  <c r="D100" i="6"/>
  <c r="G100" i="6" s="1"/>
  <c r="D99" i="6"/>
  <c r="G99" i="6" s="1"/>
  <c r="D98" i="6"/>
  <c r="G98" i="6" s="1"/>
  <c r="D97" i="6"/>
  <c r="G97" i="6" s="1"/>
  <c r="D96" i="6"/>
  <c r="G96" i="6" s="1"/>
  <c r="D95" i="6"/>
  <c r="G95" i="6" s="1"/>
  <c r="D94" i="6"/>
  <c r="G94" i="6" s="1"/>
  <c r="D92" i="6"/>
  <c r="G92" i="6" s="1"/>
  <c r="D91" i="6"/>
  <c r="G91" i="6" s="1"/>
  <c r="D90" i="6"/>
  <c r="G90" i="6" s="1"/>
  <c r="D89" i="6"/>
  <c r="G89" i="6" s="1"/>
  <c r="D88" i="6"/>
  <c r="G88" i="6" s="1"/>
  <c r="D87" i="6"/>
  <c r="G87" i="6" s="1"/>
  <c r="D86" i="6"/>
  <c r="G86" i="6" s="1"/>
  <c r="D82" i="6"/>
  <c r="G82" i="6" s="1"/>
  <c r="D81" i="6"/>
  <c r="G81" i="6" s="1"/>
  <c r="D80" i="6"/>
  <c r="G80" i="6" s="1"/>
  <c r="D79" i="6"/>
  <c r="G79" i="6" s="1"/>
  <c r="D78" i="6"/>
  <c r="G78" i="6" s="1"/>
  <c r="D77" i="6"/>
  <c r="G77" i="6" s="1"/>
  <c r="D76" i="6"/>
  <c r="G76" i="6" s="1"/>
  <c r="D74" i="6"/>
  <c r="G74" i="6" s="1"/>
  <c r="D73" i="6"/>
  <c r="G73" i="6" s="1"/>
  <c r="D72" i="6"/>
  <c r="G72" i="6" s="1"/>
  <c r="D70" i="6"/>
  <c r="G70" i="6" s="1"/>
  <c r="D69" i="6"/>
  <c r="G69" i="6" s="1"/>
  <c r="D68" i="6"/>
  <c r="G68" i="6" s="1"/>
  <c r="D67" i="6"/>
  <c r="G67" i="6" s="1"/>
  <c r="D66" i="6"/>
  <c r="G66" i="6" s="1"/>
  <c r="D65" i="6"/>
  <c r="G65" i="6" s="1"/>
  <c r="D64" i="6"/>
  <c r="G64" i="6" s="1"/>
  <c r="D63" i="6"/>
  <c r="G63" i="6" s="1"/>
  <c r="D61" i="6"/>
  <c r="G61" i="6" s="1"/>
  <c r="D60" i="6"/>
  <c r="G60" i="6" s="1"/>
  <c r="D59" i="6"/>
  <c r="G59" i="6" s="1"/>
  <c r="D57" i="6"/>
  <c r="G57" i="6" s="1"/>
  <c r="D56" i="6"/>
  <c r="G56" i="6" s="1"/>
  <c r="D55" i="6"/>
  <c r="G55" i="6" s="1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D47" i="6"/>
  <c r="G47" i="6" s="1"/>
  <c r="D46" i="6"/>
  <c r="G46" i="6" s="1"/>
  <c r="D45" i="6"/>
  <c r="G45" i="6" s="1"/>
  <c r="D44" i="6"/>
  <c r="G44" i="6" s="1"/>
  <c r="D43" i="6"/>
  <c r="G43" i="6" s="1"/>
  <c r="D42" i="6"/>
  <c r="G42" i="6" s="1"/>
  <c r="D41" i="6"/>
  <c r="G41" i="6" s="1"/>
  <c r="D40" i="6"/>
  <c r="G40" i="6" s="1"/>
  <c r="D39" i="6"/>
  <c r="G39" i="6" s="1"/>
  <c r="D37" i="6"/>
  <c r="G37" i="6" s="1"/>
  <c r="D36" i="6"/>
  <c r="G36" i="6" s="1"/>
  <c r="D35" i="6"/>
  <c r="G35" i="6" s="1"/>
  <c r="D34" i="6"/>
  <c r="G34" i="6" s="1"/>
  <c r="D33" i="6"/>
  <c r="G33" i="6" s="1"/>
  <c r="D32" i="6"/>
  <c r="G32" i="6" s="1"/>
  <c r="D31" i="6"/>
  <c r="G31" i="6" s="1"/>
  <c r="D30" i="6"/>
  <c r="G30" i="6" s="1"/>
  <c r="D29" i="6"/>
  <c r="G29" i="6" s="1"/>
  <c r="D27" i="6"/>
  <c r="G27" i="6" s="1"/>
  <c r="D26" i="6"/>
  <c r="G26" i="6" s="1"/>
  <c r="D25" i="6"/>
  <c r="G25" i="6" s="1"/>
  <c r="D24" i="6"/>
  <c r="G24" i="6" s="1"/>
  <c r="D23" i="6"/>
  <c r="G23" i="6" s="1"/>
  <c r="D22" i="6"/>
  <c r="G22" i="6" s="1"/>
  <c r="D21" i="6"/>
  <c r="G21" i="6" s="1"/>
  <c r="D20" i="6"/>
  <c r="G20" i="6" s="1"/>
  <c r="D19" i="6"/>
  <c r="G19" i="6" s="1"/>
  <c r="D16" i="6"/>
  <c r="G16" i="6" s="1"/>
  <c r="D15" i="6"/>
  <c r="G15" i="6" s="1"/>
  <c r="D14" i="6"/>
  <c r="G14" i="6" s="1"/>
  <c r="D13" i="6"/>
  <c r="G13" i="6" s="1"/>
  <c r="D12" i="6"/>
  <c r="G12" i="6" s="1"/>
  <c r="D11" i="6"/>
  <c r="G11" i="6" s="1"/>
  <c r="D35" i="5" l="1"/>
  <c r="D36" i="5"/>
  <c r="E35" i="5"/>
  <c r="F35" i="5"/>
  <c r="G33" i="5"/>
  <c r="G32" i="5"/>
  <c r="G31" i="5"/>
  <c r="G30" i="5"/>
  <c r="G29" i="5"/>
  <c r="D33" i="5"/>
  <c r="D32" i="5"/>
  <c r="D31" i="5"/>
  <c r="D30" i="5"/>
  <c r="D29" i="5"/>
  <c r="E16" i="5"/>
  <c r="F16" i="5"/>
  <c r="F9" i="2" l="1"/>
  <c r="C47" i="1" l="1"/>
  <c r="B17" i="1"/>
  <c r="C17" i="1"/>
  <c r="D22" i="9" l="1"/>
  <c r="G22" i="9" s="1"/>
  <c r="D10" i="9"/>
  <c r="G10" i="9" s="1"/>
  <c r="G17" i="7"/>
  <c r="G16" i="7"/>
  <c r="G15" i="7"/>
  <c r="G14" i="7"/>
  <c r="G13" i="7"/>
  <c r="G12" i="7"/>
  <c r="G11" i="7"/>
  <c r="G10" i="7"/>
  <c r="F85" i="6"/>
  <c r="E85" i="6"/>
  <c r="C85" i="6"/>
  <c r="B85" i="6"/>
  <c r="D85" i="6" l="1"/>
  <c r="G85" i="6"/>
  <c r="G68" i="5" l="1"/>
  <c r="D68" i="5"/>
  <c r="G58" i="5"/>
  <c r="D58" i="5"/>
  <c r="G53" i="5"/>
  <c r="D53" i="5"/>
  <c r="G52" i="5"/>
  <c r="D52" i="5"/>
  <c r="G51" i="5"/>
  <c r="D51" i="5"/>
  <c r="G50" i="5"/>
  <c r="D50" i="5"/>
  <c r="G49" i="5"/>
  <c r="D49" i="5"/>
  <c r="G48" i="5"/>
  <c r="D48" i="5"/>
  <c r="G47" i="5"/>
  <c r="D47" i="5"/>
  <c r="G46" i="5"/>
  <c r="D46" i="5"/>
  <c r="G39" i="5"/>
  <c r="D39" i="5"/>
  <c r="G38" i="5"/>
  <c r="D38" i="5"/>
  <c r="D37" i="5" s="1"/>
  <c r="F37" i="5"/>
  <c r="G37" i="5" s="1"/>
  <c r="E37" i="5"/>
  <c r="C37" i="5"/>
  <c r="B37" i="5"/>
  <c r="G35" i="5"/>
  <c r="C35" i="5"/>
  <c r="B35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G17" i="5"/>
  <c r="D17" i="5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G10" i="6" l="1"/>
  <c r="B48" i="6"/>
  <c r="B9" i="2"/>
  <c r="B19" i="8" l="1"/>
  <c r="B93" i="6"/>
  <c r="C93" i="6"/>
  <c r="D93" i="6"/>
  <c r="E93" i="6"/>
  <c r="F93" i="6"/>
  <c r="B62" i="6"/>
  <c r="C62" i="6"/>
  <c r="D62" i="6"/>
  <c r="E62" i="6"/>
  <c r="F62" i="6"/>
  <c r="C137" i="6" l="1"/>
  <c r="D137" i="6"/>
  <c r="E137" i="6"/>
  <c r="S129" i="24" s="1"/>
  <c r="F137" i="6"/>
  <c r="T129" i="24" s="1"/>
  <c r="B137" i="6"/>
  <c r="B8" i="10"/>
  <c r="C6" i="23"/>
  <c r="C7" i="23" s="1"/>
  <c r="B9" i="1"/>
  <c r="H25" i="23"/>
  <c r="G25" i="23"/>
  <c r="E5" i="13" s="1"/>
  <c r="F25" i="23"/>
  <c r="E25" i="23"/>
  <c r="D25" i="23"/>
  <c r="U20" i="27"/>
  <c r="U23" i="27"/>
  <c r="U16" i="27"/>
  <c r="U11" i="27"/>
  <c r="U8" i="27"/>
  <c r="U6" i="27"/>
  <c r="U3" i="27"/>
  <c r="G73" i="8"/>
  <c r="U65" i="26" s="1"/>
  <c r="G74" i="8"/>
  <c r="G75" i="8"/>
  <c r="G72" i="8"/>
  <c r="G71" i="8"/>
  <c r="U55" i="26"/>
  <c r="U56" i="26"/>
  <c r="U60" i="26"/>
  <c r="U62" i="26"/>
  <c r="U47" i="26"/>
  <c r="U48" i="26"/>
  <c r="U49" i="26"/>
  <c r="U51" i="26"/>
  <c r="U52" i="26"/>
  <c r="U38" i="26"/>
  <c r="U39" i="26"/>
  <c r="U41" i="26"/>
  <c r="U37" i="26"/>
  <c r="G39" i="8"/>
  <c r="U32" i="26" s="1"/>
  <c r="G40" i="8"/>
  <c r="G41" i="8"/>
  <c r="G38" i="8"/>
  <c r="U31" i="26" s="1"/>
  <c r="U4" i="26"/>
  <c r="U5" i="26"/>
  <c r="U6" i="26"/>
  <c r="U7" i="26"/>
  <c r="U8" i="26"/>
  <c r="U9" i="26"/>
  <c r="U10" i="26"/>
  <c r="U11" i="26"/>
  <c r="U13" i="26"/>
  <c r="U15" i="26"/>
  <c r="U17" i="26"/>
  <c r="U19" i="26"/>
  <c r="G37" i="8"/>
  <c r="U30" i="26" s="1"/>
  <c r="B10" i="6"/>
  <c r="P3" i="24" s="1"/>
  <c r="B18" i="6"/>
  <c r="P11" i="24" s="1"/>
  <c r="B28" i="6"/>
  <c r="P21" i="24" s="1"/>
  <c r="B38" i="6"/>
  <c r="B71" i="6"/>
  <c r="P64" i="24" s="1"/>
  <c r="B75" i="6"/>
  <c r="G152" i="6"/>
  <c r="G153" i="6"/>
  <c r="G154" i="6"/>
  <c r="G155" i="6"/>
  <c r="G150" i="6" s="1"/>
  <c r="U142" i="24" s="1"/>
  <c r="G156" i="6"/>
  <c r="G157" i="6"/>
  <c r="G151" i="6"/>
  <c r="U132" i="24"/>
  <c r="U136" i="24"/>
  <c r="U137" i="24"/>
  <c r="U128" i="24"/>
  <c r="U126" i="24"/>
  <c r="G123" i="6"/>
  <c r="U115" i="24" s="1"/>
  <c r="U123" i="24"/>
  <c r="U109" i="24"/>
  <c r="U112" i="24"/>
  <c r="U97" i="24"/>
  <c r="U98" i="24"/>
  <c r="U101" i="24"/>
  <c r="U102" i="24"/>
  <c r="U87" i="24"/>
  <c r="U90" i="24"/>
  <c r="U91" i="24"/>
  <c r="U94" i="24"/>
  <c r="U86" i="24"/>
  <c r="U79" i="24"/>
  <c r="U80" i="24"/>
  <c r="U81" i="24"/>
  <c r="U82" i="24"/>
  <c r="U83" i="24"/>
  <c r="U84" i="24"/>
  <c r="U67" i="24"/>
  <c r="U58" i="24"/>
  <c r="U59" i="24"/>
  <c r="U63" i="24"/>
  <c r="U54" i="24"/>
  <c r="U44" i="24"/>
  <c r="U49" i="24"/>
  <c r="U50" i="24"/>
  <c r="G38" i="6"/>
  <c r="U31" i="24" s="1"/>
  <c r="U38" i="24"/>
  <c r="U23" i="24"/>
  <c r="U26" i="24"/>
  <c r="U27" i="24"/>
  <c r="U30" i="24"/>
  <c r="U22" i="24"/>
  <c r="U15" i="24"/>
  <c r="U16" i="24"/>
  <c r="U19" i="24"/>
  <c r="U20" i="24"/>
  <c r="U4" i="24"/>
  <c r="B7" i="13"/>
  <c r="U9" i="24"/>
  <c r="U3" i="24"/>
  <c r="U4" i="20"/>
  <c r="U5" i="20"/>
  <c r="U6" i="20"/>
  <c r="U7" i="20"/>
  <c r="U8" i="20"/>
  <c r="U9" i="20"/>
  <c r="U12" i="20"/>
  <c r="U13" i="20"/>
  <c r="U14" i="20"/>
  <c r="U17" i="20"/>
  <c r="U18" i="20"/>
  <c r="U23" i="20"/>
  <c r="U27" i="20"/>
  <c r="U29" i="20"/>
  <c r="U33" i="20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 s="1"/>
  <c r="D18" i="13"/>
  <c r="R12" i="31"/>
  <c r="E18" i="13"/>
  <c r="S12" i="31" s="1"/>
  <c r="F18" i="13"/>
  <c r="T12" i="3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C29" i="13"/>
  <c r="Q22" i="31" s="1"/>
  <c r="D7" i="13"/>
  <c r="D29" i="13"/>
  <c r="R22" i="31"/>
  <c r="E7" i="13"/>
  <c r="E29" i="13" s="1"/>
  <c r="S22" i="31" s="1"/>
  <c r="F7" i="13"/>
  <c r="G7" i="13"/>
  <c r="U2" i="31" s="1"/>
  <c r="G29" i="13"/>
  <c r="U22" i="31" s="1"/>
  <c r="Q2" i="31"/>
  <c r="R2" i="31"/>
  <c r="S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/>
  <c r="D21" i="12"/>
  <c r="R15" i="30" s="1"/>
  <c r="E21" i="12"/>
  <c r="S15" i="30"/>
  <c r="F21" i="12"/>
  <c r="T15" i="30" s="1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 s="1"/>
  <c r="D28" i="12"/>
  <c r="R21" i="30"/>
  <c r="E28" i="12"/>
  <c r="S21" i="30" s="1"/>
  <c r="F28" i="12"/>
  <c r="T21" i="30"/>
  <c r="G28" i="12"/>
  <c r="U21" i="30" s="1"/>
  <c r="P22" i="30"/>
  <c r="Q22" i="30"/>
  <c r="R22" i="30"/>
  <c r="S22" i="30"/>
  <c r="T22" i="30"/>
  <c r="U22" i="30"/>
  <c r="B7" i="12"/>
  <c r="B31" i="12" s="1"/>
  <c r="P23" i="30" s="1"/>
  <c r="C7" i="12"/>
  <c r="D7" i="12"/>
  <c r="R2" i="30" s="1"/>
  <c r="D31" i="12"/>
  <c r="R23" i="30" s="1"/>
  <c r="E7" i="12"/>
  <c r="E31" i="12"/>
  <c r="S23" i="30"/>
  <c r="F7" i="12"/>
  <c r="F31" i="12" s="1"/>
  <c r="T23" i="30" s="1"/>
  <c r="G7" i="12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/>
  <c r="D36" i="12"/>
  <c r="R27" i="30" s="1"/>
  <c r="E36" i="12"/>
  <c r="S27" i="30"/>
  <c r="F36" i="12"/>
  <c r="T27" i="30" s="1"/>
  <c r="G36" i="12"/>
  <c r="U27" i="30"/>
  <c r="S2" i="30"/>
  <c r="T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 s="1"/>
  <c r="D19" i="11"/>
  <c r="R12" i="29"/>
  <c r="E19" i="11"/>
  <c r="S12" i="29" s="1"/>
  <c r="F19" i="11"/>
  <c r="T12" i="29"/>
  <c r="G19" i="11"/>
  <c r="U12" i="29" s="1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 s="1"/>
  <c r="P22" i="29" s="1"/>
  <c r="C8" i="11"/>
  <c r="D8" i="11"/>
  <c r="D30" i="11"/>
  <c r="R22" i="29" s="1"/>
  <c r="E8" i="11"/>
  <c r="E30" i="11"/>
  <c r="S22" i="29"/>
  <c r="F8" i="11"/>
  <c r="F30" i="11" s="1"/>
  <c r="T22" i="29" s="1"/>
  <c r="G8" i="11"/>
  <c r="R2" i="29"/>
  <c r="S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 s="1"/>
  <c r="E8" i="10"/>
  <c r="S2" i="28"/>
  <c r="F8" i="10"/>
  <c r="T2" i="28" s="1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 s="1"/>
  <c r="E22" i="10"/>
  <c r="S15" i="28"/>
  <c r="F22" i="10"/>
  <c r="T15" i="28" s="1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 s="1"/>
  <c r="D29" i="10"/>
  <c r="D32" i="10" s="1"/>
  <c r="R23" i="28" s="1"/>
  <c r="R21" i="28"/>
  <c r="E29" i="10"/>
  <c r="S21" i="28" s="1"/>
  <c r="F29" i="10"/>
  <c r="F32" i="10" s="1"/>
  <c r="T23" i="28" s="1"/>
  <c r="T21" i="28"/>
  <c r="G29" i="10"/>
  <c r="U21" i="28" s="1"/>
  <c r="Q22" i="28"/>
  <c r="R22" i="28"/>
  <c r="S22" i="28"/>
  <c r="T22" i="28"/>
  <c r="U22" i="28"/>
  <c r="C32" i="10"/>
  <c r="Q23" i="28" s="1"/>
  <c r="E32" i="10"/>
  <c r="S23" i="28" s="1"/>
  <c r="G32" i="10"/>
  <c r="U23" i="28" s="1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/>
  <c r="E37" i="10"/>
  <c r="S27" i="28" s="1"/>
  <c r="F37" i="10"/>
  <c r="T27" i="28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 s="1"/>
  <c r="P22" i="28"/>
  <c r="B32" i="10"/>
  <c r="P23" i="28" s="1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9" i="9"/>
  <c r="Q2" i="27" s="1"/>
  <c r="D9" i="9"/>
  <c r="R2" i="27" s="1"/>
  <c r="E9" i="9"/>
  <c r="S2" i="27" s="1"/>
  <c r="S9" i="27"/>
  <c r="F9" i="9"/>
  <c r="T2" i="27" s="1"/>
  <c r="Q3" i="27"/>
  <c r="R3" i="27"/>
  <c r="S3" i="27"/>
  <c r="T3" i="27"/>
  <c r="Q4" i="27"/>
  <c r="R4" i="27"/>
  <c r="S4" i="27"/>
  <c r="T4" i="27"/>
  <c r="U4" i="27"/>
  <c r="Q5" i="27"/>
  <c r="R5" i="27"/>
  <c r="T5" i="27"/>
  <c r="Q6" i="27"/>
  <c r="R6" i="27"/>
  <c r="S6" i="27"/>
  <c r="T6" i="27"/>
  <c r="Q7" i="27"/>
  <c r="R7" i="27"/>
  <c r="S7" i="27"/>
  <c r="T7" i="27"/>
  <c r="Q8" i="27"/>
  <c r="R8" i="27"/>
  <c r="S8" i="27"/>
  <c r="T8" i="27"/>
  <c r="Q9" i="27"/>
  <c r="R9" i="27"/>
  <c r="T9" i="27"/>
  <c r="Q10" i="27"/>
  <c r="R10" i="27"/>
  <c r="S10" i="27"/>
  <c r="T10" i="27"/>
  <c r="U10" i="27"/>
  <c r="Q11" i="27"/>
  <c r="R11" i="27"/>
  <c r="S11" i="27"/>
  <c r="T11" i="27"/>
  <c r="Q12" i="27"/>
  <c r="R12" i="27"/>
  <c r="S12" i="27"/>
  <c r="T12" i="27"/>
  <c r="U12" i="27"/>
  <c r="Q20" i="27"/>
  <c r="R20" i="27"/>
  <c r="E21" i="9"/>
  <c r="Q14" i="27"/>
  <c r="R14" i="27"/>
  <c r="S14" i="27"/>
  <c r="T14" i="27"/>
  <c r="U14" i="27"/>
  <c r="Q15" i="27"/>
  <c r="R15" i="27"/>
  <c r="S15" i="27"/>
  <c r="T15" i="27"/>
  <c r="U15" i="27"/>
  <c r="S16" i="27"/>
  <c r="Q17" i="27"/>
  <c r="R17" i="27"/>
  <c r="S17" i="27"/>
  <c r="T17" i="27"/>
  <c r="Q18" i="27"/>
  <c r="R18" i="27"/>
  <c r="S18" i="27"/>
  <c r="T18" i="27"/>
  <c r="U18" i="27"/>
  <c r="Q19" i="27"/>
  <c r="R19" i="27"/>
  <c r="S19" i="27"/>
  <c r="T19" i="27"/>
  <c r="U19" i="27"/>
  <c r="S20" i="27"/>
  <c r="T20" i="27"/>
  <c r="Q21" i="27"/>
  <c r="R21" i="27"/>
  <c r="S21" i="27"/>
  <c r="T21" i="27"/>
  <c r="U21" i="27"/>
  <c r="Q22" i="27"/>
  <c r="R22" i="27"/>
  <c r="S22" i="27"/>
  <c r="T22" i="27"/>
  <c r="Q23" i="27"/>
  <c r="R23" i="27"/>
  <c r="S23" i="27"/>
  <c r="T23" i="27"/>
  <c r="P3" i="27"/>
  <c r="P4" i="27"/>
  <c r="P5" i="27"/>
  <c r="P6" i="27"/>
  <c r="P7" i="27"/>
  <c r="P8" i="27"/>
  <c r="B9" i="9"/>
  <c r="P2" i="27" s="1"/>
  <c r="P10" i="27"/>
  <c r="P11" i="27"/>
  <c r="P12" i="27"/>
  <c r="P20" i="27"/>
  <c r="P14" i="27"/>
  <c r="P15" i="27"/>
  <c r="P17" i="27"/>
  <c r="P18" i="27"/>
  <c r="P19" i="27"/>
  <c r="P21" i="27"/>
  <c r="P22" i="27"/>
  <c r="P23" i="27"/>
  <c r="A5" i="27"/>
  <c r="A4" i="27"/>
  <c r="A3" i="27"/>
  <c r="A2" i="27"/>
  <c r="Q12" i="26"/>
  <c r="Q20" i="26"/>
  <c r="C37" i="8"/>
  <c r="D10" i="8"/>
  <c r="R3" i="26" s="1"/>
  <c r="D19" i="8"/>
  <c r="R12" i="26" s="1"/>
  <c r="D27" i="8"/>
  <c r="R20" i="26" s="1"/>
  <c r="D37" i="8"/>
  <c r="E10" i="8"/>
  <c r="S3" i="26" s="1"/>
  <c r="E19" i="8"/>
  <c r="S12" i="26" s="1"/>
  <c r="E27" i="8"/>
  <c r="S20" i="26" s="1"/>
  <c r="E37" i="8"/>
  <c r="F10" i="8"/>
  <c r="T3" i="26" s="1"/>
  <c r="F19" i="8"/>
  <c r="T12" i="26" s="1"/>
  <c r="F27" i="8"/>
  <c r="T20" i="26" s="1"/>
  <c r="F37" i="8"/>
  <c r="T30" i="26" s="1"/>
  <c r="Q3" i="26"/>
  <c r="Q4" i="26"/>
  <c r="R4" i="26"/>
  <c r="S4" i="26"/>
  <c r="T4" i="26"/>
  <c r="Q5" i="26"/>
  <c r="R5" i="26"/>
  <c r="S5" i="26"/>
  <c r="T5" i="26"/>
  <c r="Q6" i="26"/>
  <c r="R6" i="26"/>
  <c r="S6" i="26"/>
  <c r="T6" i="26"/>
  <c r="Q7" i="26"/>
  <c r="R7" i="26"/>
  <c r="S7" i="26"/>
  <c r="T7" i="26"/>
  <c r="Q8" i="26"/>
  <c r="R8" i="26"/>
  <c r="S8" i="26"/>
  <c r="T8" i="26"/>
  <c r="Q9" i="26"/>
  <c r="R9" i="26"/>
  <c r="S9" i="26"/>
  <c r="T9" i="26"/>
  <c r="Q10" i="26"/>
  <c r="R10" i="26"/>
  <c r="S10" i="26"/>
  <c r="T10" i="26"/>
  <c r="Q11" i="26"/>
  <c r="R11" i="26"/>
  <c r="S11" i="26"/>
  <c r="T11" i="26"/>
  <c r="Q13" i="26"/>
  <c r="R13" i="26"/>
  <c r="S13" i="26"/>
  <c r="T13" i="26"/>
  <c r="Q14" i="26"/>
  <c r="R14" i="26"/>
  <c r="S14" i="26"/>
  <c r="T14" i="26"/>
  <c r="U14" i="26"/>
  <c r="Q15" i="26"/>
  <c r="R15" i="26"/>
  <c r="S15" i="26"/>
  <c r="T15" i="26"/>
  <c r="Q16" i="26"/>
  <c r="R16" i="26"/>
  <c r="S16" i="26"/>
  <c r="T16" i="26"/>
  <c r="U16" i="26"/>
  <c r="Q17" i="26"/>
  <c r="R17" i="26"/>
  <c r="S17" i="26"/>
  <c r="T17" i="26"/>
  <c r="Q18" i="26"/>
  <c r="R18" i="26"/>
  <c r="S18" i="26"/>
  <c r="T18" i="26"/>
  <c r="U18" i="26"/>
  <c r="Q19" i="26"/>
  <c r="R19" i="26"/>
  <c r="S19" i="26"/>
  <c r="T19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Q31" i="26"/>
  <c r="R31" i="26"/>
  <c r="S31" i="26"/>
  <c r="T31" i="26"/>
  <c r="Q32" i="26"/>
  <c r="R32" i="26"/>
  <c r="S32" i="26"/>
  <c r="T32" i="26"/>
  <c r="Q33" i="26"/>
  <c r="R33" i="26"/>
  <c r="S33" i="26"/>
  <c r="T33" i="26"/>
  <c r="U33" i="26"/>
  <c r="Q34" i="26"/>
  <c r="R34" i="26"/>
  <c r="S34" i="26"/>
  <c r="T34" i="26"/>
  <c r="U34" i="26"/>
  <c r="Q36" i="26"/>
  <c r="Q45" i="26"/>
  <c r="C61" i="8"/>
  <c r="Q53" i="26" s="1"/>
  <c r="D44" i="8"/>
  <c r="R36" i="26" s="1"/>
  <c r="R45" i="26"/>
  <c r="D61" i="8"/>
  <c r="R53" i="26" s="1"/>
  <c r="E44" i="8"/>
  <c r="S36" i="26" s="1"/>
  <c r="S45" i="26"/>
  <c r="E61" i="8"/>
  <c r="S53" i="26" s="1"/>
  <c r="S63" i="26"/>
  <c r="F44" i="8"/>
  <c r="T36" i="26" s="1"/>
  <c r="T45" i="26"/>
  <c r="F61" i="8"/>
  <c r="T53" i="26" s="1"/>
  <c r="T63" i="26"/>
  <c r="Q37" i="26"/>
  <c r="R37" i="26"/>
  <c r="S37" i="26"/>
  <c r="T37" i="26"/>
  <c r="Q38" i="26"/>
  <c r="R38" i="26"/>
  <c r="S38" i="26"/>
  <c r="T38" i="26"/>
  <c r="Q39" i="26"/>
  <c r="R39" i="26"/>
  <c r="S39" i="26"/>
  <c r="T39" i="26"/>
  <c r="Q40" i="26"/>
  <c r="R40" i="26"/>
  <c r="S40" i="26"/>
  <c r="T40" i="26"/>
  <c r="U40" i="26"/>
  <c r="Q41" i="26"/>
  <c r="R41" i="26"/>
  <c r="S41" i="26"/>
  <c r="T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6" i="26"/>
  <c r="R46" i="26"/>
  <c r="S46" i="26"/>
  <c r="T46" i="26"/>
  <c r="Q47" i="26"/>
  <c r="R47" i="26"/>
  <c r="S47" i="26"/>
  <c r="T47" i="26"/>
  <c r="Q48" i="26"/>
  <c r="R48" i="26"/>
  <c r="S48" i="26"/>
  <c r="T48" i="26"/>
  <c r="Q49" i="26"/>
  <c r="R49" i="26"/>
  <c r="S49" i="26"/>
  <c r="T49" i="26"/>
  <c r="Q50" i="26"/>
  <c r="R50" i="26"/>
  <c r="S50" i="26"/>
  <c r="T50" i="26"/>
  <c r="U50" i="26"/>
  <c r="Q51" i="26"/>
  <c r="R51" i="26"/>
  <c r="S51" i="26"/>
  <c r="T51" i="26"/>
  <c r="Q52" i="26"/>
  <c r="R52" i="26"/>
  <c r="S52" i="26"/>
  <c r="T52" i="26"/>
  <c r="Q54" i="26"/>
  <c r="R54" i="26"/>
  <c r="S54" i="26"/>
  <c r="T54" i="26"/>
  <c r="U54" i="26"/>
  <c r="Q55" i="26"/>
  <c r="R55" i="26"/>
  <c r="S55" i="26"/>
  <c r="T55" i="26"/>
  <c r="Q56" i="26"/>
  <c r="R56" i="26"/>
  <c r="S56" i="26"/>
  <c r="T56" i="26"/>
  <c r="Q57" i="26"/>
  <c r="R57" i="26"/>
  <c r="S57" i="26"/>
  <c r="T57" i="26"/>
  <c r="U57" i="26"/>
  <c r="Q58" i="26"/>
  <c r="R58" i="26"/>
  <c r="S58" i="26"/>
  <c r="T58" i="26"/>
  <c r="Q59" i="26"/>
  <c r="R59" i="26"/>
  <c r="S59" i="26"/>
  <c r="T59" i="26"/>
  <c r="U59" i="26"/>
  <c r="Q60" i="26"/>
  <c r="R60" i="26"/>
  <c r="S60" i="26"/>
  <c r="T60" i="26"/>
  <c r="Q61" i="26"/>
  <c r="R61" i="26"/>
  <c r="S61" i="26"/>
  <c r="T61" i="26"/>
  <c r="U61" i="26"/>
  <c r="Q62" i="26"/>
  <c r="R62" i="26"/>
  <c r="S62" i="26"/>
  <c r="T62" i="26"/>
  <c r="Q63" i="26"/>
  <c r="R63" i="26"/>
  <c r="U63" i="26"/>
  <c r="Q64" i="26"/>
  <c r="R64" i="26"/>
  <c r="S64" i="26"/>
  <c r="T64" i="26"/>
  <c r="U64" i="26"/>
  <c r="Q65" i="26"/>
  <c r="R65" i="26"/>
  <c r="S65" i="26"/>
  <c r="T65" i="26"/>
  <c r="Q66" i="26"/>
  <c r="R66" i="26"/>
  <c r="S66" i="26"/>
  <c r="T66" i="26"/>
  <c r="U66" i="26"/>
  <c r="Q67" i="26"/>
  <c r="R67" i="26"/>
  <c r="S67" i="26"/>
  <c r="T67" i="26"/>
  <c r="U67" i="26"/>
  <c r="B44" i="8"/>
  <c r="P36" i="26" s="1"/>
  <c r="P45" i="26"/>
  <c r="B61" i="8"/>
  <c r="P53" i="26" s="1"/>
  <c r="P63" i="26"/>
  <c r="B10" i="8"/>
  <c r="P3" i="26" s="1"/>
  <c r="P12" i="26"/>
  <c r="B27" i="8"/>
  <c r="P20" i="26" s="1"/>
  <c r="B37" i="8"/>
  <c r="P30" i="26" s="1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F9" i="7"/>
  <c r="T2" i="25" s="1"/>
  <c r="F19" i="7"/>
  <c r="T3" i="25" s="1"/>
  <c r="E9" i="7"/>
  <c r="E19" i="7"/>
  <c r="S3" i="25" s="1"/>
  <c r="D9" i="7"/>
  <c r="R2" i="25" s="1"/>
  <c r="D19" i="7"/>
  <c r="R3" i="25" s="1"/>
  <c r="C9" i="7"/>
  <c r="Q2" i="25" s="1"/>
  <c r="C19" i="7"/>
  <c r="Q3" i="25" s="1"/>
  <c r="B9" i="7"/>
  <c r="P2" i="25" s="1"/>
  <c r="B19" i="7"/>
  <c r="A3" i="25"/>
  <c r="A4" i="25"/>
  <c r="A2" i="25"/>
  <c r="A87" i="24"/>
  <c r="C103" i="6"/>
  <c r="Q95" i="24" s="1"/>
  <c r="C113" i="6"/>
  <c r="Q105" i="24" s="1"/>
  <c r="C123" i="6"/>
  <c r="Q115" i="24" s="1"/>
  <c r="C133" i="6"/>
  <c r="Q125" i="24" s="1"/>
  <c r="C146" i="6"/>
  <c r="Q138" i="24" s="1"/>
  <c r="C150" i="6"/>
  <c r="R77" i="24"/>
  <c r="D103" i="6"/>
  <c r="R95" i="24" s="1"/>
  <c r="D113" i="6"/>
  <c r="R105" i="24" s="1"/>
  <c r="D123" i="6"/>
  <c r="R115" i="24" s="1"/>
  <c r="D133" i="6"/>
  <c r="R125" i="24" s="1"/>
  <c r="D146" i="6"/>
  <c r="R138" i="24" s="1"/>
  <c r="D150" i="6"/>
  <c r="R142" i="24" s="1"/>
  <c r="S77" i="24"/>
  <c r="E103" i="6"/>
  <c r="S95" i="24" s="1"/>
  <c r="E113" i="6"/>
  <c r="S105" i="24" s="1"/>
  <c r="E123" i="6"/>
  <c r="E133" i="6"/>
  <c r="S125" i="24" s="1"/>
  <c r="E146" i="6"/>
  <c r="S138" i="24" s="1"/>
  <c r="E150" i="6"/>
  <c r="F103" i="6"/>
  <c r="T95" i="24" s="1"/>
  <c r="F113" i="6"/>
  <c r="T105" i="24" s="1"/>
  <c r="F123" i="6"/>
  <c r="T115" i="24" s="1"/>
  <c r="F133" i="6"/>
  <c r="T125" i="24" s="1"/>
  <c r="F146" i="6"/>
  <c r="T138" i="24" s="1"/>
  <c r="F150" i="6"/>
  <c r="T142" i="24" s="1"/>
  <c r="Q77" i="24"/>
  <c r="T77" i="24"/>
  <c r="Q78" i="24"/>
  <c r="R78" i="24"/>
  <c r="S78" i="24"/>
  <c r="T78" i="24"/>
  <c r="Q79" i="24"/>
  <c r="R79" i="24"/>
  <c r="S79" i="24"/>
  <c r="T79" i="24"/>
  <c r="Q80" i="24"/>
  <c r="R80" i="24"/>
  <c r="S80" i="24"/>
  <c r="T80" i="24"/>
  <c r="Q81" i="24"/>
  <c r="R81" i="24"/>
  <c r="S81" i="24"/>
  <c r="T81" i="24"/>
  <c r="Q82" i="24"/>
  <c r="R82" i="24"/>
  <c r="S82" i="24"/>
  <c r="T82" i="24"/>
  <c r="Q83" i="24"/>
  <c r="R83" i="24"/>
  <c r="S83" i="24"/>
  <c r="T83" i="24"/>
  <c r="Q84" i="24"/>
  <c r="R84" i="24"/>
  <c r="S84" i="24"/>
  <c r="T84" i="24"/>
  <c r="R85" i="24"/>
  <c r="T85" i="24"/>
  <c r="Q86" i="24"/>
  <c r="R86" i="24"/>
  <c r="S86" i="24"/>
  <c r="T86" i="24"/>
  <c r="Q87" i="24"/>
  <c r="R87" i="24"/>
  <c r="S87" i="24"/>
  <c r="T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Q91" i="24"/>
  <c r="R91" i="24"/>
  <c r="S91" i="24"/>
  <c r="T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Q96" i="24"/>
  <c r="R96" i="24"/>
  <c r="S96" i="24"/>
  <c r="T96" i="24"/>
  <c r="Q97" i="24"/>
  <c r="R97" i="24"/>
  <c r="S97" i="24"/>
  <c r="T97" i="24"/>
  <c r="Q98" i="24"/>
  <c r="R98" i="24"/>
  <c r="S98" i="24"/>
  <c r="T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Q102" i="24"/>
  <c r="R102" i="24"/>
  <c r="S102" i="24"/>
  <c r="T102" i="24"/>
  <c r="Q103" i="24"/>
  <c r="R103" i="24"/>
  <c r="S103" i="24"/>
  <c r="T103" i="24"/>
  <c r="U103" i="24"/>
  <c r="Q104" i="24"/>
  <c r="R104" i="24"/>
  <c r="S104" i="24"/>
  <c r="T104" i="24"/>
  <c r="U104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Q109" i="24"/>
  <c r="R109" i="24"/>
  <c r="S109" i="24"/>
  <c r="T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Q113" i="24"/>
  <c r="R113" i="24"/>
  <c r="S113" i="24"/>
  <c r="T113" i="24"/>
  <c r="U113" i="24"/>
  <c r="Q114" i="24"/>
  <c r="R114" i="24"/>
  <c r="S114" i="24"/>
  <c r="T114" i="24"/>
  <c r="U114" i="24"/>
  <c r="S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Q124" i="24"/>
  <c r="R124" i="24"/>
  <c r="S124" i="24"/>
  <c r="T124" i="24"/>
  <c r="U124" i="24"/>
  <c r="Q126" i="24"/>
  <c r="R126" i="24"/>
  <c r="S126" i="24"/>
  <c r="T126" i="24"/>
  <c r="Q127" i="24"/>
  <c r="R127" i="24"/>
  <c r="S127" i="24"/>
  <c r="T127" i="24"/>
  <c r="U127" i="24"/>
  <c r="Q128" i="24"/>
  <c r="R128" i="24"/>
  <c r="S128" i="24"/>
  <c r="T128" i="24"/>
  <c r="Q129" i="24"/>
  <c r="R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Q137" i="24"/>
  <c r="R137" i="24"/>
  <c r="S137" i="24"/>
  <c r="T137" i="24"/>
  <c r="Q139" i="24"/>
  <c r="R139" i="24"/>
  <c r="S139" i="24"/>
  <c r="T139" i="24"/>
  <c r="U139" i="24"/>
  <c r="Q140" i="24"/>
  <c r="R140" i="24"/>
  <c r="S140" i="24"/>
  <c r="T140" i="24"/>
  <c r="Q141" i="24"/>
  <c r="R141" i="24"/>
  <c r="S141" i="24"/>
  <c r="T141" i="24"/>
  <c r="U141" i="24"/>
  <c r="Q142" i="24"/>
  <c r="S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Q3" i="24" s="1"/>
  <c r="C18" i="6"/>
  <c r="Q11" i="24" s="1"/>
  <c r="C28" i="6"/>
  <c r="Q21" i="24" s="1"/>
  <c r="C38" i="6"/>
  <c r="Q31" i="24" s="1"/>
  <c r="Q51" i="24"/>
  <c r="C71" i="6"/>
  <c r="C75" i="6"/>
  <c r="Q68" i="24" s="1"/>
  <c r="D10" i="6"/>
  <c r="R3" i="24" s="1"/>
  <c r="D18" i="6"/>
  <c r="R11" i="24" s="1"/>
  <c r="D28" i="6"/>
  <c r="R21" i="24" s="1"/>
  <c r="D38" i="6"/>
  <c r="R31" i="24" s="1"/>
  <c r="R41" i="24"/>
  <c r="R51" i="24"/>
  <c r="D71" i="6"/>
  <c r="D75" i="6"/>
  <c r="R68" i="24" s="1"/>
  <c r="E10" i="6"/>
  <c r="S3" i="24" s="1"/>
  <c r="E18" i="6"/>
  <c r="E28" i="6"/>
  <c r="S21" i="24" s="1"/>
  <c r="E38" i="6"/>
  <c r="S31" i="24" s="1"/>
  <c r="S41" i="24"/>
  <c r="S51" i="24"/>
  <c r="E71" i="6"/>
  <c r="E75" i="6"/>
  <c r="F10" i="6"/>
  <c r="F18" i="6"/>
  <c r="T11" i="24" s="1"/>
  <c r="F28" i="6"/>
  <c r="T21" i="24" s="1"/>
  <c r="F38" i="6"/>
  <c r="T31" i="24" s="1"/>
  <c r="T51" i="24"/>
  <c r="F71" i="6"/>
  <c r="F75" i="6"/>
  <c r="T68" i="24" s="1"/>
  <c r="G75" i="6"/>
  <c r="U68" i="24" s="1"/>
  <c r="P77" i="24"/>
  <c r="P85" i="24"/>
  <c r="B103" i="6"/>
  <c r="P95" i="24" s="1"/>
  <c r="B113" i="6"/>
  <c r="P105" i="24" s="1"/>
  <c r="B123" i="6"/>
  <c r="P115" i="24" s="1"/>
  <c r="B133" i="6"/>
  <c r="P125" i="24" s="1"/>
  <c r="B146" i="6"/>
  <c r="P138" i="24" s="1"/>
  <c r="B150" i="6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9" i="24"/>
  <c r="P140" i="24"/>
  <c r="P141" i="24"/>
  <c r="P142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T3" i="24"/>
  <c r="Q4" i="24"/>
  <c r="R4" i="24"/>
  <c r="S4" i="24"/>
  <c r="T4" i="24"/>
  <c r="Q5" i="24"/>
  <c r="R5" i="24"/>
  <c r="S5" i="24"/>
  <c r="T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Q10" i="24"/>
  <c r="R10" i="24"/>
  <c r="S10" i="24"/>
  <c r="T10" i="24"/>
  <c r="U10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Q16" i="24"/>
  <c r="R16" i="24"/>
  <c r="S16" i="24"/>
  <c r="T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Q20" i="24"/>
  <c r="R20" i="24"/>
  <c r="S20" i="24"/>
  <c r="T20" i="24"/>
  <c r="Q22" i="24"/>
  <c r="R22" i="24"/>
  <c r="S22" i="24"/>
  <c r="T22" i="24"/>
  <c r="Q23" i="24"/>
  <c r="R23" i="24"/>
  <c r="S23" i="24"/>
  <c r="T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Q27" i="24"/>
  <c r="R27" i="24"/>
  <c r="S27" i="24"/>
  <c r="T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Q39" i="24"/>
  <c r="R39" i="24"/>
  <c r="S39" i="24"/>
  <c r="T39" i="24"/>
  <c r="U39" i="24"/>
  <c r="Q40" i="24"/>
  <c r="R40" i="24"/>
  <c r="S40" i="24"/>
  <c r="T40" i="24"/>
  <c r="U40" i="24"/>
  <c r="Q41" i="24"/>
  <c r="T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Q45" i="24"/>
  <c r="R45" i="24"/>
  <c r="S45" i="24"/>
  <c r="T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Q50" i="24"/>
  <c r="R50" i="24"/>
  <c r="S50" i="24"/>
  <c r="T50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Q55" i="24"/>
  <c r="R55" i="24"/>
  <c r="S55" i="24"/>
  <c r="T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Q59" i="24"/>
  <c r="R59" i="24"/>
  <c r="S59" i="24"/>
  <c r="T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R64" i="24"/>
  <c r="Q65" i="24"/>
  <c r="R65" i="24"/>
  <c r="S65" i="24"/>
  <c r="T65" i="24"/>
  <c r="U65" i="24"/>
  <c r="Q66" i="24"/>
  <c r="R66" i="24"/>
  <c r="S66" i="24"/>
  <c r="T66" i="24"/>
  <c r="Q67" i="24"/>
  <c r="R67" i="24"/>
  <c r="S67" i="24"/>
  <c r="T67" i="24"/>
  <c r="S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11" i="20"/>
  <c r="U15" i="20"/>
  <c r="U16" i="20"/>
  <c r="U19" i="20"/>
  <c r="U20" i="20"/>
  <c r="U21" i="20"/>
  <c r="U24" i="20"/>
  <c r="U25" i="20"/>
  <c r="U26" i="20"/>
  <c r="U28" i="20"/>
  <c r="U30" i="20"/>
  <c r="U32" i="20"/>
  <c r="U38" i="20"/>
  <c r="U39" i="20"/>
  <c r="U40" i="20"/>
  <c r="U41" i="20"/>
  <c r="U42" i="20"/>
  <c r="U43" i="20"/>
  <c r="U44" i="20"/>
  <c r="U45" i="20"/>
  <c r="G55" i="5"/>
  <c r="U47" i="20" s="1"/>
  <c r="G56" i="5"/>
  <c r="U48" i="20" s="1"/>
  <c r="G57" i="5"/>
  <c r="U49" i="20" s="1"/>
  <c r="U50" i="20"/>
  <c r="G60" i="5"/>
  <c r="G59" i="5" s="1"/>
  <c r="U51" i="20" s="1"/>
  <c r="G61" i="5"/>
  <c r="U53" i="20"/>
  <c r="G62" i="5"/>
  <c r="U54" i="20" s="1"/>
  <c r="G63" i="5"/>
  <c r="U55" i="20" s="1"/>
  <c r="U58" i="20"/>
  <c r="G67" i="5"/>
  <c r="U57" i="20" s="1"/>
  <c r="U60" i="20"/>
  <c r="U61" i="20"/>
  <c r="G75" i="5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S10" i="20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 s="1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Q31" i="20"/>
  <c r="R31" i="20"/>
  <c r="S31" i="20"/>
  <c r="T31" i="20"/>
  <c r="Q32" i="20"/>
  <c r="R32" i="20"/>
  <c r="S32" i="20"/>
  <c r="T32" i="20"/>
  <c r="Q33" i="20"/>
  <c r="R33" i="20"/>
  <c r="S33" i="20"/>
  <c r="T33" i="20"/>
  <c r="C45" i="5"/>
  <c r="Q37" i="20" s="1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Q51" i="20"/>
  <c r="R51" i="20"/>
  <c r="S51" i="20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7" i="5"/>
  <c r="Q57" i="20" s="1"/>
  <c r="D67" i="5"/>
  <c r="R57" i="20" s="1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/>
  <c r="F75" i="5"/>
  <c r="T62" i="20" s="1"/>
  <c r="P61" i="20"/>
  <c r="B75" i="5"/>
  <c r="P62" i="20"/>
  <c r="P60" i="20"/>
  <c r="P58" i="20"/>
  <c r="B67" i="5"/>
  <c r="P57" i="20"/>
  <c r="B45" i="5"/>
  <c r="B65" i="5" s="1"/>
  <c r="B54" i="5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B16" i="5"/>
  <c r="P10" i="20" s="1"/>
  <c r="B28" i="5"/>
  <c r="P29" i="20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D20" i="23"/>
  <c r="B6" i="1" s="1"/>
  <c r="F18" i="23"/>
  <c r="K6" i="3" s="1"/>
  <c r="E18" i="23"/>
  <c r="J6" i="3" s="1"/>
  <c r="D18" i="23"/>
  <c r="I6" i="3" s="1"/>
  <c r="E6" i="1"/>
  <c r="F5" i="13"/>
  <c r="D5" i="13"/>
  <c r="C5" i="13"/>
  <c r="B5" i="13"/>
  <c r="D5" i="12"/>
  <c r="C5" i="12"/>
  <c r="B5" i="12"/>
  <c r="F5" i="12"/>
  <c r="I25" i="23"/>
  <c r="D23" i="23"/>
  <c r="B6" i="11" s="1"/>
  <c r="I23" i="23"/>
  <c r="G6" i="10" s="1"/>
  <c r="H23" i="23"/>
  <c r="F6" i="11" s="1"/>
  <c r="G23" i="23"/>
  <c r="E6" i="11" s="1"/>
  <c r="F23" i="23"/>
  <c r="D6" i="11" s="1"/>
  <c r="E23" i="23"/>
  <c r="C6" i="10" s="1"/>
  <c r="G5" i="13"/>
  <c r="G5" i="12"/>
  <c r="C11" i="23"/>
  <c r="A2" i="13" s="1"/>
  <c r="A5" i="9"/>
  <c r="A5" i="8"/>
  <c r="A5" i="7"/>
  <c r="A5" i="6"/>
  <c r="A4" i="5"/>
  <c r="A4" i="4"/>
  <c r="A4" i="3"/>
  <c r="A4" i="2"/>
  <c r="A4" i="1"/>
  <c r="K15" i="3"/>
  <c r="K16" i="3"/>
  <c r="K17" i="3"/>
  <c r="K18" i="3"/>
  <c r="K14" i="3"/>
  <c r="Y4" i="17" s="1"/>
  <c r="J14" i="3"/>
  <c r="X4" i="17" s="1"/>
  <c r="I14" i="3"/>
  <c r="I8" i="3"/>
  <c r="I20" i="3" s="1"/>
  <c r="W5" i="17" s="1"/>
  <c r="H14" i="3"/>
  <c r="V4" i="17" s="1"/>
  <c r="G14" i="3"/>
  <c r="E14" i="3"/>
  <c r="S4" i="17" s="1"/>
  <c r="K9" i="3"/>
  <c r="K10" i="3"/>
  <c r="K11" i="3"/>
  <c r="K12" i="3"/>
  <c r="J8" i="3"/>
  <c r="J20" i="3" s="1"/>
  <c r="X5" i="17" s="1"/>
  <c r="H8" i="3"/>
  <c r="H20" i="3" s="1"/>
  <c r="V5" i="17" s="1"/>
  <c r="G8" i="3"/>
  <c r="G20" i="3" s="1"/>
  <c r="U5" i="17" s="1"/>
  <c r="E8" i="3"/>
  <c r="E20" i="3" s="1"/>
  <c r="S5" i="17" s="1"/>
  <c r="F41" i="2"/>
  <c r="T17" i="16" s="1"/>
  <c r="E41" i="2"/>
  <c r="S17" i="16" s="1"/>
  <c r="D41" i="2"/>
  <c r="R17" i="16" s="1"/>
  <c r="C41" i="2"/>
  <c r="Q17" i="16" s="1"/>
  <c r="H27" i="2"/>
  <c r="V15" i="16" s="1"/>
  <c r="G27" i="2"/>
  <c r="U15" i="16" s="1"/>
  <c r="F27" i="2"/>
  <c r="E27" i="2"/>
  <c r="S15" i="16" s="1"/>
  <c r="D27" i="2"/>
  <c r="R15" i="16" s="1"/>
  <c r="C27" i="2"/>
  <c r="Q15" i="16" s="1"/>
  <c r="B41" i="2"/>
  <c r="B27" i="2"/>
  <c r="P15" i="16" s="1"/>
  <c r="H22" i="2"/>
  <c r="V14" i="16" s="1"/>
  <c r="G22" i="2"/>
  <c r="U14" i="16" s="1"/>
  <c r="F22" i="2"/>
  <c r="E22" i="2"/>
  <c r="S14" i="16" s="1"/>
  <c r="D22" i="2"/>
  <c r="R14" i="16" s="1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4" i="4"/>
  <c r="P32" i="18"/>
  <c r="B55" i="4"/>
  <c r="B49" i="4"/>
  <c r="P26" i="18"/>
  <c r="B37" i="4"/>
  <c r="B29" i="4"/>
  <c r="P15" i="18" s="1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0" i="18"/>
  <c r="P27" i="18"/>
  <c r="P28" i="18"/>
  <c r="P29" i="18"/>
  <c r="P20" i="18"/>
  <c r="P21" i="18"/>
  <c r="P23" i="18"/>
  <c r="P24" i="18"/>
  <c r="P16" i="18"/>
  <c r="P17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F9" i="1"/>
  <c r="Q57" i="15" s="1"/>
  <c r="F23" i="1"/>
  <c r="Q71" i="15" s="1"/>
  <c r="F27" i="1"/>
  <c r="Q76" i="15" s="1"/>
  <c r="F31" i="1"/>
  <c r="Q80" i="15" s="1"/>
  <c r="F38" i="1"/>
  <c r="Q87" i="15" s="1"/>
  <c r="F42" i="1"/>
  <c r="Q91" i="15" s="1"/>
  <c r="F63" i="1"/>
  <c r="Q106" i="15" s="1"/>
  <c r="Q107" i="15"/>
  <c r="Q108" i="15"/>
  <c r="Q109" i="15"/>
  <c r="F68" i="1"/>
  <c r="Q110" i="15" s="1"/>
  <c r="Q111" i="15"/>
  <c r="Q112" i="15"/>
  <c r="Q113" i="15"/>
  <c r="Q114" i="15"/>
  <c r="Q115" i="15"/>
  <c r="F75" i="1"/>
  <c r="Q116" i="15" s="1"/>
  <c r="Q117" i="15"/>
  <c r="Q118" i="15"/>
  <c r="E9" i="1"/>
  <c r="E19" i="1"/>
  <c r="P67" i="15" s="1"/>
  <c r="P71" i="15"/>
  <c r="P76" i="15"/>
  <c r="E31" i="1"/>
  <c r="P80" i="15" s="1"/>
  <c r="E38" i="1"/>
  <c r="E42" i="1"/>
  <c r="P91" i="15" s="1"/>
  <c r="E57" i="1"/>
  <c r="E63" i="1"/>
  <c r="E68" i="1"/>
  <c r="P110" i="15" s="1"/>
  <c r="E75" i="1"/>
  <c r="P116" i="15" s="1"/>
  <c r="P117" i="15"/>
  <c r="P118" i="15"/>
  <c r="P111" i="15"/>
  <c r="P112" i="15"/>
  <c r="P113" i="15"/>
  <c r="P114" i="15"/>
  <c r="P115" i="15"/>
  <c r="P107" i="15"/>
  <c r="P108" i="15"/>
  <c r="P109" i="15"/>
  <c r="P103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P88" i="15"/>
  <c r="Q88" i="15"/>
  <c r="P89" i="15"/>
  <c r="Q89" i="15"/>
  <c r="P90" i="15"/>
  <c r="Q90" i="15"/>
  <c r="P92" i="15"/>
  <c r="Q92" i="15"/>
  <c r="P93" i="15"/>
  <c r="Q93" i="15"/>
  <c r="P94" i="15"/>
  <c r="Q94" i="15"/>
  <c r="Q75" i="15"/>
  <c r="P75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2" i="15"/>
  <c r="Q72" i="15"/>
  <c r="P73" i="15"/>
  <c r="Q73" i="15"/>
  <c r="P74" i="15"/>
  <c r="Q74" i="15"/>
  <c r="Q33" i="15"/>
  <c r="P33" i="15"/>
  <c r="A33" i="15"/>
  <c r="A55" i="15"/>
  <c r="C9" i="1"/>
  <c r="Q4" i="15" s="1"/>
  <c r="Q12" i="15"/>
  <c r="C25" i="1"/>
  <c r="Q20" i="15" s="1"/>
  <c r="C31" i="1"/>
  <c r="C38" i="1"/>
  <c r="Q34" i="15" s="1"/>
  <c r="C41" i="1"/>
  <c r="Q37" i="15" s="1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5" i="15"/>
  <c r="Q36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B25" i="1"/>
  <c r="P20" i="15" s="1"/>
  <c r="P21" i="15"/>
  <c r="P22" i="15"/>
  <c r="P23" i="15"/>
  <c r="P24" i="15"/>
  <c r="P25" i="15"/>
  <c r="B31" i="1"/>
  <c r="P26" i="15" s="1"/>
  <c r="P27" i="15"/>
  <c r="P28" i="15"/>
  <c r="P29" i="15"/>
  <c r="P30" i="15"/>
  <c r="P31" i="15"/>
  <c r="P32" i="15"/>
  <c r="B38" i="1"/>
  <c r="P34" i="15" s="1"/>
  <c r="P35" i="15"/>
  <c r="P36" i="15"/>
  <c r="B41" i="1"/>
  <c r="P37" i="15" s="1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D70" i="4"/>
  <c r="Q36" i="18"/>
  <c r="R36" i="18"/>
  <c r="C64" i="4"/>
  <c r="Q33" i="18" s="1"/>
  <c r="D64" i="4"/>
  <c r="R32" i="18"/>
  <c r="Q26" i="18"/>
  <c r="C55" i="4"/>
  <c r="Q31" i="18" s="1"/>
  <c r="D55" i="4"/>
  <c r="R31" i="18" s="1"/>
  <c r="R30" i="18"/>
  <c r="R26" i="18"/>
  <c r="C49" i="4"/>
  <c r="Q27" i="18" s="1"/>
  <c r="D49" i="4"/>
  <c r="C29" i="4"/>
  <c r="Q15" i="18" s="1"/>
  <c r="D29" i="4"/>
  <c r="R15" i="18" s="1"/>
  <c r="C40" i="4"/>
  <c r="C44" i="4" s="1"/>
  <c r="D40" i="4"/>
  <c r="R22" i="18" s="1"/>
  <c r="C37" i="4"/>
  <c r="D37" i="4"/>
  <c r="R19" i="18" s="1"/>
  <c r="C17" i="4"/>
  <c r="Q9" i="18" s="1"/>
  <c r="C13" i="4"/>
  <c r="Q6" i="18" s="1"/>
  <c r="D13" i="4"/>
  <c r="R6" i="18" s="1"/>
  <c r="U4" i="17"/>
  <c r="W4" i="17"/>
  <c r="P17" i="16"/>
  <c r="T15" i="16"/>
  <c r="C13" i="2"/>
  <c r="Q8" i="16" s="1"/>
  <c r="D13" i="2"/>
  <c r="R8" i="16" s="1"/>
  <c r="E13" i="2"/>
  <c r="S8" i="16" s="1"/>
  <c r="T8" i="16"/>
  <c r="G13" i="2"/>
  <c r="U8" i="16" s="1"/>
  <c r="H13" i="2"/>
  <c r="V8" i="16" s="1"/>
  <c r="P8" i="16"/>
  <c r="C9" i="2"/>
  <c r="R4" i="16"/>
  <c r="T4" i="16"/>
  <c r="H9" i="2"/>
  <c r="V4" i="16" s="1"/>
  <c r="P4" i="16"/>
  <c r="Q22" i="18"/>
  <c r="R33" i="18"/>
  <c r="R37" i="18"/>
  <c r="Q19" i="18"/>
  <c r="Q37" i="18"/>
  <c r="Q67" i="15"/>
  <c r="V3" i="17"/>
  <c r="G19" i="7" l="1"/>
  <c r="U3" i="25" s="1"/>
  <c r="C65" i="5"/>
  <c r="Q56" i="20" s="1"/>
  <c r="B41" i="5"/>
  <c r="P34" i="20" s="1"/>
  <c r="E9" i="6"/>
  <c r="S2" i="24" s="1"/>
  <c r="D9" i="6"/>
  <c r="R2" i="24" s="1"/>
  <c r="D65" i="5"/>
  <c r="R56" i="20" s="1"/>
  <c r="B47" i="1"/>
  <c r="P4" i="15"/>
  <c r="P31" i="24"/>
  <c r="B9" i="6"/>
  <c r="T64" i="24"/>
  <c r="F9" i="6"/>
  <c r="S64" i="24"/>
  <c r="Q64" i="24"/>
  <c r="Q2" i="24"/>
  <c r="B6" i="10"/>
  <c r="E5" i="12"/>
  <c r="F6" i="1"/>
  <c r="W3" i="17"/>
  <c r="G9" i="7"/>
  <c r="G29" i="7" s="1"/>
  <c r="U4" i="25" s="1"/>
  <c r="G146" i="6"/>
  <c r="U138" i="24" s="1"/>
  <c r="G133" i="6"/>
  <c r="U125" i="24" s="1"/>
  <c r="G113" i="6"/>
  <c r="U105" i="24" s="1"/>
  <c r="G103" i="6"/>
  <c r="U95" i="24" s="1"/>
  <c r="U77" i="24"/>
  <c r="G93" i="6"/>
  <c r="U85" i="24" s="1"/>
  <c r="G71" i="6"/>
  <c r="U66" i="24"/>
  <c r="G62" i="6"/>
  <c r="U55" i="24" s="1"/>
  <c r="U41" i="24"/>
  <c r="U34" i="24"/>
  <c r="U5" i="24"/>
  <c r="E65" i="5"/>
  <c r="S56" i="20" s="1"/>
  <c r="F41" i="5"/>
  <c r="T34" i="20" s="1"/>
  <c r="C41" i="5"/>
  <c r="Q34" i="20" s="1"/>
  <c r="C72" i="4"/>
  <c r="Q38" i="18" s="1"/>
  <c r="Q32" i="18"/>
  <c r="X3" i="17"/>
  <c r="U22" i="27"/>
  <c r="U17" i="27"/>
  <c r="U9" i="27"/>
  <c r="P9" i="27"/>
  <c r="S5" i="27"/>
  <c r="B43" i="8"/>
  <c r="P35" i="26" s="1"/>
  <c r="F43" i="8"/>
  <c r="T35" i="26" s="1"/>
  <c r="E43" i="8"/>
  <c r="S35" i="26" s="1"/>
  <c r="C43" i="8"/>
  <c r="Q35" i="26" s="1"/>
  <c r="G44" i="8"/>
  <c r="U36" i="26" s="1"/>
  <c r="B9" i="8"/>
  <c r="F9" i="8"/>
  <c r="T2" i="26" s="1"/>
  <c r="G10" i="8"/>
  <c r="U3" i="26" s="1"/>
  <c r="D9" i="8"/>
  <c r="R2" i="26" s="1"/>
  <c r="B29" i="7"/>
  <c r="P4" i="25" s="1"/>
  <c r="D29" i="7"/>
  <c r="R4" i="25" s="1"/>
  <c r="C29" i="7"/>
  <c r="Q4" i="25" s="1"/>
  <c r="U140" i="24"/>
  <c r="G137" i="6"/>
  <c r="U129" i="24" s="1"/>
  <c r="U119" i="24"/>
  <c r="U108" i="24"/>
  <c r="U96" i="24"/>
  <c r="E84" i="6"/>
  <c r="S76" i="24" s="1"/>
  <c r="C84" i="6"/>
  <c r="Q76" i="24" s="1"/>
  <c r="U78" i="24"/>
  <c r="F84" i="6"/>
  <c r="T76" i="24" s="1"/>
  <c r="U51" i="24"/>
  <c r="U45" i="24"/>
  <c r="G28" i="6"/>
  <c r="U21" i="24" s="1"/>
  <c r="S11" i="24"/>
  <c r="U52" i="20"/>
  <c r="F65" i="5"/>
  <c r="G54" i="5"/>
  <c r="U46" i="20" s="1"/>
  <c r="P22" i="20"/>
  <c r="D41" i="5"/>
  <c r="R34" i="20" s="1"/>
  <c r="U31" i="20"/>
  <c r="E41" i="5"/>
  <c r="B44" i="4"/>
  <c r="P25" i="18" s="1"/>
  <c r="C57" i="4"/>
  <c r="C59" i="4" s="1"/>
  <c r="B57" i="4"/>
  <c r="B59" i="4" s="1"/>
  <c r="D57" i="4"/>
  <c r="D59" i="4" s="1"/>
  <c r="Q30" i="18"/>
  <c r="U3" i="17"/>
  <c r="K8" i="3"/>
  <c r="Y3" i="17" s="1"/>
  <c r="S3" i="17"/>
  <c r="T14" i="16"/>
  <c r="G8" i="2"/>
  <c r="G20" i="2" s="1"/>
  <c r="U13" i="16" s="1"/>
  <c r="U4" i="16"/>
  <c r="E8" i="2"/>
  <c r="E20" i="2" s="1"/>
  <c r="S13" i="16" s="1"/>
  <c r="S4" i="16"/>
  <c r="C8" i="2"/>
  <c r="C20" i="2" s="1"/>
  <c r="Q13" i="16" s="1"/>
  <c r="Q4" i="16"/>
  <c r="B8" i="2"/>
  <c r="B20" i="2" s="1"/>
  <c r="E79" i="1"/>
  <c r="P119" i="15" s="1"/>
  <c r="E47" i="1"/>
  <c r="P95" i="15" s="1"/>
  <c r="F47" i="1"/>
  <c r="F59" i="1" s="1"/>
  <c r="Q104" i="15" s="1"/>
  <c r="P57" i="15"/>
  <c r="C62" i="1"/>
  <c r="Q54" i="15" s="1"/>
  <c r="F6" i="10"/>
  <c r="D6" i="10"/>
  <c r="E6" i="10"/>
  <c r="C6" i="11"/>
  <c r="G6" i="11"/>
  <c r="A2" i="11"/>
  <c r="A2" i="12"/>
  <c r="A2" i="10"/>
  <c r="A2" i="6"/>
  <c r="A2" i="8"/>
  <c r="A2" i="3"/>
  <c r="A2" i="7"/>
  <c r="A2" i="2"/>
  <c r="A2" i="4"/>
  <c r="A2" i="5"/>
  <c r="A2" i="1"/>
  <c r="A2" i="9"/>
  <c r="A2" i="14"/>
  <c r="U3" i="16"/>
  <c r="Q25" i="18"/>
  <c r="P56" i="20"/>
  <c r="S3" i="16"/>
  <c r="F79" i="1"/>
  <c r="Q119" i="15" s="1"/>
  <c r="Q85" i="24"/>
  <c r="D84" i="6"/>
  <c r="R76" i="24" s="1"/>
  <c r="P3" i="25"/>
  <c r="T16" i="27"/>
  <c r="F21" i="9"/>
  <c r="F33" i="9" s="1"/>
  <c r="D21" i="9"/>
  <c r="R16" i="27"/>
  <c r="G30" i="11"/>
  <c r="U22" i="29" s="1"/>
  <c r="U2" i="29"/>
  <c r="C31" i="12"/>
  <c r="Q23" i="30" s="1"/>
  <c r="Q2" i="30"/>
  <c r="G16" i="5"/>
  <c r="U10" i="20" s="1"/>
  <c r="R27" i="18"/>
  <c r="P106" i="15"/>
  <c r="B72" i="4"/>
  <c r="P37" i="20"/>
  <c r="G45" i="5"/>
  <c r="D43" i="8"/>
  <c r="G31" i="12"/>
  <c r="U23" i="30" s="1"/>
  <c r="U2" i="30"/>
  <c r="G28" i="5"/>
  <c r="U22" i="20" s="1"/>
  <c r="H8" i="2"/>
  <c r="D8" i="2"/>
  <c r="F8" i="2"/>
  <c r="D44" i="4"/>
  <c r="D72" i="4"/>
  <c r="P19" i="18"/>
  <c r="B84" i="6"/>
  <c r="S85" i="24"/>
  <c r="F29" i="7"/>
  <c r="T4" i="25" s="1"/>
  <c r="E9" i="8"/>
  <c r="S2" i="26" s="1"/>
  <c r="E33" i="9"/>
  <c r="S24" i="27" s="1"/>
  <c r="S13" i="27"/>
  <c r="C21" i="9"/>
  <c r="Q16" i="27"/>
  <c r="F29" i="13"/>
  <c r="T22" i="31" s="1"/>
  <c r="T2" i="31"/>
  <c r="G19" i="8"/>
  <c r="U12" i="26" s="1"/>
  <c r="U7" i="27"/>
  <c r="G21" i="9"/>
  <c r="E29" i="7"/>
  <c r="S4" i="25" s="1"/>
  <c r="S2" i="25"/>
  <c r="C9" i="8"/>
  <c r="Q2" i="26" s="1"/>
  <c r="B21" i="9"/>
  <c r="P16" i="27"/>
  <c r="C30" i="11"/>
  <c r="Q22" i="29" s="1"/>
  <c r="Q2" i="29"/>
  <c r="B29" i="13"/>
  <c r="P22" i="31" s="1"/>
  <c r="P2" i="31"/>
  <c r="G18" i="6"/>
  <c r="G27" i="8"/>
  <c r="U20" i="26" s="1"/>
  <c r="U45" i="26"/>
  <c r="U46" i="26"/>
  <c r="G61" i="8"/>
  <c r="U53" i="26" s="1"/>
  <c r="U58" i="26"/>
  <c r="T2" i="29"/>
  <c r="P2" i="30"/>
  <c r="G9" i="6" l="1"/>
  <c r="B70" i="5"/>
  <c r="G84" i="6"/>
  <c r="U76" i="24" s="1"/>
  <c r="C70" i="5"/>
  <c r="C74" i="4"/>
  <c r="Q39" i="18" s="1"/>
  <c r="U2" i="25"/>
  <c r="U64" i="24"/>
  <c r="P2" i="24"/>
  <c r="B159" i="6"/>
  <c r="P150" i="24" s="1"/>
  <c r="P2" i="26"/>
  <c r="B77" i="8"/>
  <c r="P68" i="26" s="1"/>
  <c r="F77" i="8"/>
  <c r="T68" i="26" s="1"/>
  <c r="C77" i="8"/>
  <c r="Q68" i="26" s="1"/>
  <c r="E77" i="8"/>
  <c r="S68" i="26" s="1"/>
  <c r="G9" i="8"/>
  <c r="U2" i="26" s="1"/>
  <c r="E159" i="6"/>
  <c r="S150" i="24" s="1"/>
  <c r="C159" i="6"/>
  <c r="Q150" i="24" s="1"/>
  <c r="T56" i="20"/>
  <c r="F70" i="5"/>
  <c r="D70" i="5"/>
  <c r="S34" i="20"/>
  <c r="E70" i="5"/>
  <c r="K20" i="3"/>
  <c r="Y5" i="17" s="1"/>
  <c r="Q3" i="16"/>
  <c r="P13" i="16"/>
  <c r="P3" i="16"/>
  <c r="Q95" i="15"/>
  <c r="E59" i="1"/>
  <c r="E81" i="1" s="1"/>
  <c r="P120" i="15" s="1"/>
  <c r="Q42" i="15"/>
  <c r="U13" i="27"/>
  <c r="G43" i="8"/>
  <c r="G65" i="5"/>
  <c r="U56" i="20" s="1"/>
  <c r="U37" i="20"/>
  <c r="P5" i="18"/>
  <c r="B8" i="4"/>
  <c r="P76" i="24"/>
  <c r="R35" i="26"/>
  <c r="D77" i="8"/>
  <c r="R68" i="26" s="1"/>
  <c r="P42" i="15"/>
  <c r="B62" i="1"/>
  <c r="P54" i="15" s="1"/>
  <c r="P13" i="27"/>
  <c r="B33" i="9"/>
  <c r="P24" i="27" s="1"/>
  <c r="G9" i="9"/>
  <c r="U2" i="27" s="1"/>
  <c r="U5" i="27"/>
  <c r="D74" i="4"/>
  <c r="R39" i="18" s="1"/>
  <c r="R38" i="18"/>
  <c r="R3" i="16"/>
  <c r="D20" i="2"/>
  <c r="R13" i="16" s="1"/>
  <c r="R13" i="27"/>
  <c r="D33" i="9"/>
  <c r="R24" i="27" s="1"/>
  <c r="D159" i="6"/>
  <c r="R150" i="24" s="1"/>
  <c r="F81" i="1"/>
  <c r="Q120" i="15" s="1"/>
  <c r="U11" i="24"/>
  <c r="F20" i="2"/>
  <c r="T13" i="16" s="1"/>
  <c r="T3" i="16"/>
  <c r="C8" i="4"/>
  <c r="Q5" i="18"/>
  <c r="C33" i="9"/>
  <c r="Q24" i="27" s="1"/>
  <c r="Q13" i="27"/>
  <c r="F159" i="6"/>
  <c r="T150" i="24" s="1"/>
  <c r="T2" i="24"/>
  <c r="R25" i="18"/>
  <c r="V3" i="16"/>
  <c r="H20" i="2"/>
  <c r="V13" i="16" s="1"/>
  <c r="B74" i="4"/>
  <c r="P39" i="18" s="1"/>
  <c r="P38" i="18"/>
  <c r="T13" i="27"/>
  <c r="T24" i="27"/>
  <c r="G41" i="5"/>
  <c r="P104" i="15" l="1"/>
  <c r="C21" i="4"/>
  <c r="Q2" i="18"/>
  <c r="R5" i="18"/>
  <c r="D8" i="4"/>
  <c r="G42" i="5"/>
  <c r="U35" i="20" s="1"/>
  <c r="U34" i="20"/>
  <c r="G70" i="5"/>
  <c r="U2" i="24"/>
  <c r="G159" i="6"/>
  <c r="U150" i="24" s="1"/>
  <c r="B21" i="4"/>
  <c r="P2" i="18"/>
  <c r="G77" i="8"/>
  <c r="U68" i="26" s="1"/>
  <c r="U35" i="26"/>
  <c r="G33" i="9"/>
  <c r="U24" i="27" s="1"/>
  <c r="P12" i="18" l="1"/>
  <c r="B23" i="4"/>
  <c r="D21" i="4"/>
  <c r="R2" i="18"/>
  <c r="C23" i="4"/>
  <c r="Q12" i="18"/>
  <c r="B25" i="4" l="1"/>
  <c r="P13" i="18"/>
  <c r="R12" i="18"/>
  <c r="D23" i="4"/>
  <c r="Q13" i="18"/>
  <c r="C25" i="4"/>
  <c r="C33" i="4" s="1"/>
  <c r="D25" i="4" l="1"/>
  <c r="R13" i="18"/>
  <c r="Q14" i="18"/>
  <c r="Q18" i="18"/>
  <c r="P14" i="18"/>
  <c r="B33" i="4"/>
  <c r="P18" i="18" s="1"/>
  <c r="R14" i="18" l="1"/>
  <c r="D33" i="4"/>
  <c r="R18" i="18" s="1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<sst xmlns="http://schemas.openxmlformats.org/spreadsheetml/2006/main" count="4243" uniqueCount="3305">
  <si>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</si>
  <si>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</si>
  <si>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</si>
  <si>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</si>
  <si>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</si>
  <si>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</si>
  <si>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</si>
  <si>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</si>
  <si>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</si>
  <si>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</si>
  <si>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</si>
  <si>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</si>
  <si>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</si>
  <si>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</si>
  <si>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</si>
  <si>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</si>
  <si>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</si>
  <si>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</si>
  <si>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</si>
  <si>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</si>
  <si>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</si>
  <si>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</si>
  <si>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</si>
  <si>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</si>
  <si>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</si>
  <si>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</si>
  <si>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</si>
  <si>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</si>
  <si>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</si>
  <si>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</si>
  <si>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</si>
  <si>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</si>
  <si>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</si>
  <si>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</si>
  <si>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</si>
  <si>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</si>
  <si>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</si>
  <si>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</si>
  <si>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</si>
  <si>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</si>
  <si>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</si>
  <si>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</si>
  <si>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</si>
  <si>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</si>
  <si>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</si>
  <si>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</si>
  <si>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</si>
  <si>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</si>
  <si>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</si>
  <si>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</si>
  <si>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</si>
  <si>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</si>
  <si>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</si>
  <si>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</si>
  <si>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</si>
  <si>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</si>
  <si>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</si>
  <si>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</si>
  <si>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</si>
  <si>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</si>
  <si>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</si>
  <si>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</si>
  <si>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</si>
  <si>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</si>
  <si>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</si>
  <si>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</si>
  <si>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</si>
  <si>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</si>
  <si>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</si>
  <si>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</si>
  <si>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</si>
  <si>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</si>
  <si>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</si>
  <si>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</si>
  <si>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</si>
  <si>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</si>
  <si>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</si>
  <si>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</si>
  <si>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</si>
  <si>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</si>
  <si>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</si>
  <si>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</si>
  <si>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</si>
  <si>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</si>
  <si>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</si>
  <si>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</si>
  <si>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</si>
  <si>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</si>
  <si>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</si>
  <si>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</si>
  <si>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</si>
  <si>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</si>
  <si>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</si>
  <si>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</si>
  <si>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</si>
  <si>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</si>
  <si>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</si>
  <si>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</si>
  <si>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</si>
  <si>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</si>
  <si>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</si>
  <si>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</si>
  <si>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</si>
  <si>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</si>
  <si>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</si>
  <si>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</si>
  <si>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</si>
  <si>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</si>
  <si>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</si>
  <si>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</si>
  <si>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</si>
  <si>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</si>
  <si>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</si>
  <si>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</si>
  <si>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</si>
  <si>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</si>
  <si>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</si>
  <si>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</si>
  <si>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</si>
  <si>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</si>
  <si>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</si>
  <si>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</si>
  <si>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</si>
  <si>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</si>
  <si>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</si>
  <si>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</si>
  <si>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</si>
  <si>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</si>
  <si>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</si>
  <si>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</si>
  <si>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</si>
  <si>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</si>
  <si>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</si>
  <si>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</si>
  <si>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</si>
  <si>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</si>
  <si>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</si>
  <si>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</si>
  <si>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</si>
  <si>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</si>
  <si>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</si>
  <si>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</si>
  <si>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</si>
  <si>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</si>
  <si>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</si>
  <si>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</si>
  <si>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</si>
  <si>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</si>
  <si>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</si>
  <si>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</si>
  <si>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</si>
  <si>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</si>
  <si>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</si>
  <si>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</si>
  <si>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</si>
  <si>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</si>
  <si>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</si>
  <si>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</si>
  <si>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</si>
  <si>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</si>
  <si>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</si>
  <si>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</si>
  <si>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</si>
  <si>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</si>
  <si>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</si>
  <si>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</si>
  <si>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</si>
  <si>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</si>
  <si>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</si>
  <si>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</si>
  <si>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</si>
  <si>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</si>
  <si>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</si>
  <si>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</si>
  <si>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</si>
  <si>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</si>
  <si>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</si>
  <si>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</si>
  <si>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</si>
  <si>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</si>
  <si>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</si>
  <si>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</si>
  <si>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</si>
  <si>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</si>
  <si>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</si>
  <si>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</si>
  <si>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</si>
  <si>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</si>
  <si>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</si>
  <si>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</si>
  <si>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</si>
  <si>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</si>
  <si>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</si>
  <si>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</si>
  <si>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</si>
  <si>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</si>
  <si>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</si>
  <si>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</si>
  <si>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</si>
  <si>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</si>
  <si>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</si>
  <si>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</si>
  <si>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</si>
  <si>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</si>
  <si>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</si>
  <si>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</si>
  <si>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</si>
  <si>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</si>
  <si>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</si>
  <si>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</si>
  <si>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</si>
  <si>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</si>
  <si>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</si>
  <si>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</si>
  <si>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</si>
  <si>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</si>
  <si>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</si>
  <si>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</si>
  <si>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</si>
  <si>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</si>
  <si>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</si>
  <si>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</si>
  <si>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</si>
  <si>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</si>
  <si>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</si>
  <si>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</si>
  <si>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</si>
  <si>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</si>
  <si>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</si>
  <si>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</si>
  <si>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</si>
  <si>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</si>
  <si>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</si>
  <si>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</si>
  <si>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</si>
  <si>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</si>
  <si>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</si>
  <si>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</si>
  <si>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</si>
  <si>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</si>
  <si>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</si>
  <si>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</si>
  <si>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</si>
  <si>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</si>
  <si>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</si>
  <si>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</si>
  <si>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</si>
  <si>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</si>
  <si>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</si>
  <si>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</si>
  <si>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</si>
  <si>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</si>
  <si>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</si>
  <si>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</si>
  <si>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</si>
  <si>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</si>
  <si>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</si>
  <si>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</si>
  <si>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</si>
  <si>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</si>
  <si>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</si>
  <si>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</si>
  <si>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</si>
  <si>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</si>
  <si>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</si>
  <si>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</si>
  <si>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</si>
  <si>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</si>
  <si>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</si>
  <si>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</si>
  <si>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</si>
  <si>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</si>
  <si>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</si>
  <si>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</si>
  <si>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</si>
  <si>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</si>
  <si>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</si>
  <si>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</si>
  <si>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</si>
  <si>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</si>
  <si>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</si>
  <si>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</si>
  <si>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</si>
  <si>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</si>
  <si>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</si>
  <si>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</si>
  <si>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</si>
  <si>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</si>
  <si>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</si>
  <si>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</si>
  <si>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</si>
  <si>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</si>
  <si>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</si>
  <si>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</si>
  <si>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</si>
  <si>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</si>
  <si>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</si>
  <si>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</si>
  <si>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</si>
  <si>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</si>
  <si>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</si>
  <si>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</si>
  <si>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</si>
  <si>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</si>
  <si>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</si>
  <si>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</si>
  <si>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</si>
  <si>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</si>
  <si>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</si>
  <si>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</si>
  <si>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</si>
  <si>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</si>
  <si>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</si>
  <si>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</si>
  <si>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</si>
  <si>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</si>
  <si>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</si>
  <si>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</si>
  <si>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</si>
  <si>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</si>
  <si>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</si>
  <si>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</si>
  <si>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</si>
  <si>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</si>
  <si>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</si>
  <si>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</si>
  <si>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</si>
  <si>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</si>
  <si>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</si>
  <si>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</si>
  <si>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</si>
  <si>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</si>
  <si>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</si>
  <si>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</si>
  <si>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</si>
  <si>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</si>
  <si>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</si>
  <si>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</si>
  <si>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</si>
  <si>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</si>
  <si>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</si>
  <si>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</si>
  <si>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</si>
  <si>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</si>
  <si>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</si>
  <si>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</si>
  <si>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</si>
  <si>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</si>
  <si>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</si>
  <si>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</si>
  <si>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</si>
  <si>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</si>
  <si>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</si>
  <si>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</si>
  <si>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</si>
  <si>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</si>
  <si>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</si>
  <si>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</si>
  <si>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</si>
  <si>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</si>
  <si>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</si>
  <si>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</si>
  <si>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</si>
  <si>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</si>
  <si>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</si>
  <si>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</si>
  <si>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</si>
  <si>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</si>
  <si>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</si>
  <si>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</si>
  <si>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</si>
  <si>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</si>
  <si>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</si>
  <si>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</si>
  <si>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</si>
  <si>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</si>
  <si>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</si>
  <si>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</si>
  <si>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</si>
  <si>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</si>
  <si>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</si>
  <si>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</si>
  <si>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</si>
  <si>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</si>
  <si>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</si>
  <si>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</si>
  <si>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</si>
  <si>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</si>
  <si>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</si>
  <si>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</si>
  <si>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</si>
  <si>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</si>
  <si>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</si>
  <si>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</si>
  <si>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</si>
  <si>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</si>
  <si>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</si>
  <si>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</si>
  <si>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</si>
  <si>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</si>
  <si>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</si>
  <si>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</si>
  <si>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</si>
  <si>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</si>
  <si>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</si>
  <si>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</si>
  <si>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</si>
  <si>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</si>
  <si>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</si>
  <si>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</si>
  <si>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</si>
  <si>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</si>
  <si>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</si>
  <si>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</si>
  <si>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</si>
  <si>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</si>
  <si>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</si>
  <si>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</si>
  <si>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</si>
  <si>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</si>
  <si>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</si>
  <si>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</si>
  <si>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</si>
  <si>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</si>
  <si>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</si>
  <si>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</si>
  <si>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</si>
  <si>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</si>
  <si>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</si>
  <si>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</si>
  <si>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</si>
  <si>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</si>
  <si>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</si>
  <si>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</si>
  <si>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</si>
  <si>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</si>
  <si>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</si>
  <si>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</si>
  <si>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</si>
  <si>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</si>
  <si>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</si>
  <si>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</si>
  <si>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</si>
  <si>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</si>
  <si>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</si>
  <si>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</si>
  <si>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</si>
  <si>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</si>
  <si>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</si>
  <si>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</si>
  <si>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</si>
  <si>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</si>
  <si>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</si>
  <si>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</si>
  <si>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</si>
  <si>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</si>
  <si>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</si>
  <si>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</si>
  <si>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</si>
  <si>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</si>
  <si>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</si>
  <si>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</si>
  <si>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</si>
  <si>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</si>
  <si>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</si>
  <si>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</si>
  <si>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</si>
  <si>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</si>
  <si>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</si>
  <si>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</si>
  <si>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</si>
  <si>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</si>
  <si>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</si>
  <si>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</si>
  <si>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</si>
  <si>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</si>
  <si>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</si>
  <si>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</si>
  <si>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</si>
  <si>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</si>
  <si>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</si>
  <si>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</si>
  <si>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</si>
  <si>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</si>
  <si>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</si>
  <si>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</si>
  <si>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</si>
  <si>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</si>
  <si>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</si>
  <si>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</si>
  <si>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</si>
  <si>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</si>
  <si>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</si>
  <si>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</si>
  <si>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</si>
  <si>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</si>
  <si>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</si>
  <si>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</si>
  <si>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</si>
  <si>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</si>
  <si>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</si>
  <si>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</si>
  <si>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</si>
  <si>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</si>
  <si>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</si>
  <si>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</si>
  <si>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</si>
  <si>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</si>
  <si>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</si>
  <si>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</si>
  <si>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</si>
  <si>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</si>
  <si>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</si>
  <si>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</si>
  <si>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</si>
  <si>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</si>
  <si>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</si>
  <si>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</si>
  <si>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</si>
  <si>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</si>
  <si>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</si>
  <si>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</si>
  <si>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</si>
  <si>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</si>
  <si>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</si>
  <si>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</si>
  <si>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</si>
  <si>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</si>
  <si>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</si>
  <si>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</si>
  <si>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</si>
  <si>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</si>
  <si>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</si>
  <si>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</si>
  <si>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</si>
  <si>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</si>
  <si>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</si>
  <si>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</si>
  <si>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</si>
  <si>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</si>
  <si>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</si>
  <si>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</si>
  <si>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</si>
  <si>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</si>
  <si>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</si>
  <si>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</si>
  <si>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</si>
  <si>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</si>
  <si>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</si>
  <si>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</si>
  <si>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</si>
  <si>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</si>
  <si>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</si>
  <si>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</si>
  <si>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</si>
  <si>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</si>
  <si>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</si>
  <si>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</si>
  <si>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</si>
  <si>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</si>
  <si>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</si>
  <si>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</si>
  <si>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</si>
  <si>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</si>
  <si>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</si>
  <si>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</si>
  <si>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</si>
  <si>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</si>
  <si>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</si>
  <si>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</si>
  <si>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</si>
  <si>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</si>
  <si>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</si>
  <si>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</si>
  <si>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</si>
  <si>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</si>
  <si>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</si>
  <si>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</si>
  <si>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</si>
  <si>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</si>
  <si>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</si>
  <si>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</si>
  <si>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</si>
  <si>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</si>
  <si>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</si>
  <si>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</si>
  <si>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</si>
  <si>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</si>
  <si>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</si>
  <si>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</si>
  <si>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</si>
  <si>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</si>
  <si>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</si>
  <si>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</si>
  <si>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</si>
  <si>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</si>
  <si>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</si>
  <si>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</si>
  <si>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</si>
  <si>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</si>
  <si>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</si>
  <si>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</si>
  <si>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</si>
  <si>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</si>
  <si>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</si>
  <si>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</si>
  <si>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</si>
  <si>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</si>
  <si>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</si>
  <si>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</si>
  <si>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</si>
  <si>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</si>
  <si>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</si>
  <si>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</si>
  <si>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</si>
  <si>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</si>
  <si>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</si>
  <si>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</si>
  <si>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</si>
  <si>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</si>
  <si>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</si>
  <si>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</si>
  <si>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</si>
  <si>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</si>
  <si>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</si>
  <si>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</si>
  <si>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</si>
  <si>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</si>
  <si>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</si>
  <si>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</si>
  <si>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</si>
  <si>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</si>
  <si>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</si>
  <si>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</si>
  <si>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</si>
  <si>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</si>
  <si>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</si>
  <si>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</si>
  <si>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</si>
  <si>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</si>
  <si>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</si>
  <si>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</si>
  <si>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</si>
  <si>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</si>
  <si>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</si>
  <si>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</si>
  <si>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</si>
  <si>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</si>
  <si>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</si>
  <si>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</si>
  <si>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</si>
  <si>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</si>
  <si>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</si>
  <si>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</si>
  <si>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</si>
  <si>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</si>
  <si>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</si>
  <si>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</si>
  <si>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</si>
  <si>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</si>
  <si>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</si>
  <si>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</si>
  <si>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</si>
  <si>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</si>
  <si>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</si>
  <si>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</si>
  <si>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</si>
  <si>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</si>
  <si>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</si>
  <si>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</si>
  <si>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</si>
  <si>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</si>
  <si>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</si>
  <si>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</si>
  <si>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</si>
  <si>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</si>
  <si>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</si>
  <si>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</si>
  <si>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</si>
  <si>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</si>
  <si>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</si>
  <si>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</si>
  <si>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</si>
  <si>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</si>
  <si>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</si>
  <si>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</si>
  <si>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</si>
  <si>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</si>
  <si>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</si>
  <si>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</si>
  <si>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</si>
  <si>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</si>
  <si>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</si>
  <si>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</si>
  <si>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</si>
  <si>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</si>
  <si>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</si>
  <si>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</si>
  <si>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</si>
  <si>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</si>
  <si>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</si>
  <si>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</si>
  <si>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</si>
  <si>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</si>
  <si>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</si>
  <si>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</si>
  <si>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</si>
  <si>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</si>
  <si>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</si>
  <si>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</si>
  <si>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</si>
  <si>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</si>
  <si>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</si>
  <si>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</si>
  <si>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</si>
  <si>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</si>
  <si>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</si>
  <si>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</si>
  <si>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</si>
  <si>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</si>
  <si>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</si>
  <si>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</si>
  <si>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</si>
  <si>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</si>
  <si>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</si>
  <si>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</si>
  <si>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</si>
  <si>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</si>
  <si>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</si>
  <si>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</si>
  <si>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</si>
  <si>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</si>
  <si>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</si>
  <si>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</si>
  <si>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</si>
  <si>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</si>
  <si>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</si>
  <si>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</si>
  <si>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</si>
  <si>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</si>
  <si>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</si>
  <si>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</si>
  <si>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</si>
  <si>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</si>
  <si>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</si>
  <si>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</si>
  <si>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</si>
  <si>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</si>
  <si>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</si>
  <si>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</si>
  <si>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</si>
  <si>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</si>
  <si>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</si>
  <si>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</si>
  <si>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</si>
  <si>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</si>
  <si>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</si>
  <si>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</si>
  <si>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</si>
  <si>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</si>
  <si>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</si>
  <si>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</si>
  <si>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</si>
  <si>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</si>
  <si>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</si>
  <si>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</si>
  <si>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</si>
  <si>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</si>
  <si>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</si>
  <si>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</si>
  <si>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</si>
  <si>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</si>
  <si>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</si>
  <si>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</si>
  <si>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</si>
  <si>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</si>
  <si>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</si>
  <si>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</si>
  <si>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</si>
  <si>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</si>
  <si>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</si>
  <si>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</si>
  <si>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</si>
  <si>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</si>
  <si>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</si>
  <si>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</si>
  <si>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</si>
  <si>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</si>
  <si>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</si>
  <si>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</si>
  <si>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</si>
  <si>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</si>
  <si>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</si>
  <si>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</si>
  <si>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</si>
  <si>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</si>
  <si>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</si>
  <si>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</si>
  <si>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</si>
  <si>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</si>
  <si>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</si>
  <si>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</si>
  <si>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</si>
  <si>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</si>
  <si>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</si>
  <si>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</si>
  <si>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</si>
  <si>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</si>
  <si>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</si>
  <si>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</si>
  <si>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</si>
  <si>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</si>
  <si>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</si>
  <si>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</si>
  <si>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</si>
  <si>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</si>
  <si>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</si>
  <si>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</si>
  <si>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</si>
  <si>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</si>
  <si>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</si>
  <si>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</si>
  <si>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</si>
  <si>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</si>
  <si>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</si>
  <si>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</si>
  <si>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</si>
  <si>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</si>
  <si>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</si>
  <si>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</si>
  <si>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</si>
  <si>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</si>
  <si>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</si>
  <si>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</si>
  <si>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</si>
  <si>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</si>
  <si>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</si>
  <si>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</si>
  <si>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</si>
  <si>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</si>
  <si>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</si>
  <si>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</si>
  <si>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</si>
  <si>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</si>
  <si>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</si>
  <si>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</si>
  <si>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</si>
  <si>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</si>
  <si>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</si>
  <si>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</si>
  <si>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</si>
  <si>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</si>
  <si>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</si>
  <si>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</si>
  <si>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</si>
  <si>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</si>
  <si>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</si>
  <si>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</si>
  <si>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</si>
  <si>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</si>
  <si>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</si>
  <si>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</si>
  <si>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</si>
  <si>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</si>
  <si>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</si>
  <si>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</si>
  <si>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</si>
  <si>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</si>
  <si>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</si>
  <si>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</si>
  <si>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</si>
  <si>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</si>
  <si>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</si>
  <si>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</si>
  <si>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</si>
  <si>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</si>
  <si>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</si>
  <si>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</si>
  <si>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</si>
  <si>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</si>
  <si>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</si>
  <si>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</si>
  <si>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</si>
  <si>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</si>
  <si>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</si>
  <si>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</si>
  <si>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</si>
  <si>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</si>
  <si>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</si>
  <si>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</si>
  <si>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</si>
  <si>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</si>
  <si>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</si>
  <si>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</si>
  <si>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</si>
  <si>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</si>
  <si>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</si>
  <si>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</si>
  <si>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</si>
  <si>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</si>
  <si>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</si>
  <si>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</si>
  <si>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</si>
  <si>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</si>
  <si>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</si>
  <si>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</si>
  <si>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</si>
  <si>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</si>
  <si>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</si>
  <si>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</si>
  <si>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</si>
  <si>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</si>
  <si>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</si>
  <si>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</si>
  <si>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</si>
  <si>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</si>
  <si>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</si>
  <si>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</si>
  <si>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</si>
  <si>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</si>
  <si>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</si>
  <si>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</si>
  <si>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</si>
  <si>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</si>
  <si>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</si>
  <si>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</si>
  <si>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</si>
  <si>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</si>
  <si>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</si>
  <si>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</si>
  <si>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</si>
  <si>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</si>
  <si>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</si>
  <si>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</si>
  <si>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</si>
  <si>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</si>
  <si>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</si>
  <si>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</si>
  <si>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</si>
  <si>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</si>
  <si>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</si>
  <si>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</si>
  <si>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</si>
  <si>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</si>
  <si>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</si>
  <si>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</si>
  <si>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</si>
  <si>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</si>
  <si>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</si>
  <si>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</si>
  <si>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</si>
  <si>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</si>
  <si>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</si>
  <si>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</si>
  <si>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</si>
  <si>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</si>
  <si>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</si>
  <si>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</si>
  <si>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</si>
  <si>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</si>
  <si>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</si>
  <si>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</si>
  <si>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</si>
  <si>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</si>
  <si>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</si>
  <si>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</si>
  <si>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</si>
  <si>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</si>
  <si>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</si>
  <si>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</si>
  <si>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</si>
  <si>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</si>
  <si>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</si>
  <si>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</si>
  <si>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</si>
  <si>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</si>
  <si>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</si>
  <si>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</si>
  <si>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</si>
  <si>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</si>
  <si>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</si>
  <si>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</si>
  <si>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</si>
  <si>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</si>
  <si>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</si>
  <si>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</si>
  <si>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</si>
  <si>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</si>
  <si>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</si>
  <si>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</si>
  <si>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</si>
  <si>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</si>
  <si>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</si>
  <si>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</si>
  <si>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</si>
  <si>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</si>
  <si>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</si>
  <si>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</si>
  <si>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</si>
  <si>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</si>
  <si>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</si>
  <si>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</si>
  <si>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</si>
  <si>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</si>
  <si>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</si>
  <si>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</si>
  <si>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</si>
  <si>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</si>
  <si>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</si>
  <si>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</si>
  <si>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</si>
  <si>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</si>
  <si>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</si>
  <si>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</si>
  <si>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</si>
  <si>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</si>
  <si>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</si>
  <si>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</si>
  <si>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</si>
  <si>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</si>
  <si>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</si>
  <si>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</si>
  <si>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</si>
  <si>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</si>
  <si>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</si>
  <si>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</si>
  <si>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</si>
  <si>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</si>
  <si>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</si>
  <si>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</si>
  <si>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</si>
  <si>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</si>
  <si>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</si>
  <si>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</si>
  <si>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</si>
  <si>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</si>
  <si>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</si>
  <si>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</si>
  <si>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</si>
  <si>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</si>
  <si>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</si>
  <si>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</si>
  <si>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</si>
  <si>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</si>
  <si>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</si>
  <si>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</si>
  <si>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</si>
  <si>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</si>
  <si>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</si>
  <si>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</si>
  <si>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</si>
  <si>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</si>
  <si>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</si>
  <si>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</si>
  <si>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</si>
  <si>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</si>
  <si>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</si>
  <si>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</si>
  <si>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</si>
  <si>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</si>
  <si>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</si>
  <si>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</si>
  <si>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</si>
  <si>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</si>
  <si>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</si>
  <si>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</si>
  <si>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</si>
  <si>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</si>
  <si>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</si>
  <si>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</si>
  <si>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</si>
  <si>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</si>
  <si>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</si>
  <si>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</si>
  <si>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</si>
  <si>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</si>
  <si>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</si>
  <si>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</si>
  <si>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</si>
  <si>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</si>
  <si>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</si>
  <si>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</si>
  <si>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</si>
  <si>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</si>
  <si>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</si>
  <si>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</si>
  <si>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</si>
  <si>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</si>
  <si>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</si>
  <si>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</si>
  <si>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</si>
  <si>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</si>
  <si>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</si>
  <si>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</si>
  <si>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</si>
  <si>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</si>
  <si>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</si>
  <si>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</si>
  <si>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</si>
  <si>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</si>
  <si>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</si>
  <si>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</si>
  <si>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</si>
  <si>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</si>
  <si>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</si>
  <si>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</si>
  <si>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</si>
  <si>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</si>
  <si>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</si>
  <si>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</si>
  <si>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</si>
  <si>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</si>
  <si>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</si>
  <si>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</si>
  <si>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</si>
  <si>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</si>
  <si>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</si>
  <si>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</si>
  <si>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</si>
  <si>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</si>
  <si>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</si>
  <si>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</si>
  <si>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</si>
  <si>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</si>
  <si>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</si>
  <si>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</si>
  <si>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</si>
  <si>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</si>
  <si>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</si>
  <si>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</si>
  <si>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</si>
  <si>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</si>
  <si>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</si>
  <si>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</si>
  <si>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</si>
  <si>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</si>
  <si>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</si>
  <si>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</si>
  <si>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</si>
  <si>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</si>
  <si>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</si>
  <si>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</si>
  <si>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</si>
  <si>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</si>
  <si>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</si>
  <si>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</si>
  <si>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</si>
  <si>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</si>
  <si>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</si>
  <si>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</si>
  <si>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</si>
  <si>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</si>
  <si>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</si>
  <si>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</si>
  <si>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</si>
  <si>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</si>
  <si>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</si>
  <si>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</si>
  <si>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</si>
  <si>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</si>
  <si>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</si>
  <si>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</si>
  <si>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</si>
  <si>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</si>
  <si>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</si>
  <si>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</si>
  <si>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</si>
  <si>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</si>
  <si>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</si>
  <si>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</si>
  <si>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</si>
  <si>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</si>
  <si>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</si>
  <si>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</si>
  <si>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</si>
  <si>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</si>
  <si>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</si>
  <si>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</si>
  <si>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</si>
  <si>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</si>
  <si>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</si>
  <si>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</si>
  <si>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</si>
  <si>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</si>
  <si>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</si>
  <si>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</si>
  <si>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</si>
  <si>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</si>
  <si>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</si>
  <si>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</si>
  <si>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</si>
  <si>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</si>
  <si>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</si>
  <si>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</si>
  <si>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</si>
  <si>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</si>
  <si>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</si>
  <si>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</si>
  <si>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</si>
  <si>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</si>
  <si>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</si>
  <si>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</si>
  <si>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</si>
  <si>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</si>
  <si>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</si>
  <si>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</si>
  <si>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</si>
  <si>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</si>
  <si>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</si>
  <si>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</si>
  <si>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</si>
  <si>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</si>
  <si>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</si>
  <si>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</si>
  <si>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</si>
  <si>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</si>
  <si>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</si>
  <si>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</si>
  <si>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</si>
  <si>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</si>
  <si>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</si>
  <si>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</si>
  <si>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</si>
  <si>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</si>
  <si>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</si>
  <si>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</si>
  <si>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</si>
  <si>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</si>
  <si>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</si>
  <si>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</si>
  <si>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</si>
  <si>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</si>
  <si>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</si>
  <si>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</si>
  <si>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</si>
  <si>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</si>
  <si>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</si>
  <si>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</si>
  <si>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</si>
  <si>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</si>
  <si>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</si>
  <si>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</si>
  <si>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</si>
  <si>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</si>
  <si>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</si>
  <si>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</si>
  <si>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</si>
  <si>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</si>
  <si>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</si>
  <si>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</si>
  <si>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</si>
  <si>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</si>
  <si>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</si>
  <si>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</si>
  <si>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</si>
  <si>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</si>
  <si>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</si>
  <si>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</si>
  <si>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</si>
  <si>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</si>
  <si>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</si>
  <si>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</si>
  <si>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</si>
  <si>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</si>
  <si>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</si>
  <si>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</si>
  <si>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</si>
  <si>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</si>
  <si>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</si>
  <si>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</si>
  <si>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</si>
  <si>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</si>
  <si>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</si>
  <si>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</si>
  <si>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</si>
  <si>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</si>
  <si>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</si>
  <si>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</si>
  <si>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</si>
  <si>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</si>
  <si>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</si>
  <si>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</si>
  <si>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</si>
  <si>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</si>
  <si>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</si>
  <si>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</si>
  <si>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</si>
  <si>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</si>
  <si>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</si>
  <si>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</si>
  <si>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</si>
  <si>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</si>
  <si>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</si>
  <si>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</si>
  <si>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</si>
  <si>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</si>
  <si>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</si>
  <si>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</si>
  <si>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</si>
  <si>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</si>
  <si>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</si>
  <si>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</si>
  <si>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</si>
  <si>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</si>
  <si>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</si>
  <si>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</si>
  <si>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</si>
  <si>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</si>
  <si>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</si>
  <si>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</si>
  <si>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</si>
  <si>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</si>
  <si>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</si>
  <si>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</si>
  <si>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</si>
  <si>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</si>
  <si>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</si>
  <si>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</si>
  <si>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</si>
  <si>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</si>
  <si>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</si>
  <si>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</si>
  <si>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</si>
  <si>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</si>
  <si>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</si>
  <si>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</si>
  <si>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</si>
  <si>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</si>
  <si>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</si>
  <si>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</si>
  <si>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</si>
  <si>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</si>
  <si>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</si>
  <si>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</si>
  <si>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</si>
  <si>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</si>
  <si>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</si>
  <si>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</si>
  <si>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</si>
  <si>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</si>
  <si>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</si>
  <si>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</si>
  <si>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</si>
  <si>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</si>
  <si>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</si>
  <si>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</si>
  <si>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</si>
  <si>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</si>
  <si>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</si>
  <si>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</si>
  <si>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</si>
  <si>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</si>
  <si>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</si>
  <si>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</si>
  <si>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</si>
  <si>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</si>
  <si>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</si>
  <si>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</si>
  <si>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</si>
  <si>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</si>
  <si>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</si>
  <si>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</si>
  <si>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</si>
  <si>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</si>
  <si>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</si>
  <si>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</si>
  <si>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</si>
  <si>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</si>
  <si>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</si>
  <si>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</si>
  <si>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</si>
  <si>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</si>
  <si>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</si>
  <si>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</si>
  <si>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</si>
  <si>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</si>
  <si>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</si>
  <si>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</si>
  <si>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</si>
  <si>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</si>
  <si>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</si>
  <si>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</si>
  <si>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</si>
  <si>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</si>
  <si>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</si>
  <si>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</si>
  <si>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</si>
  <si>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</si>
  <si>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</si>
  <si>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</si>
  <si>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</si>
  <si>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</si>
  <si>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</si>
  <si>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</si>
  <si>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</si>
  <si>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</si>
  <si>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</si>
  <si>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</si>
  <si>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</si>
  <si>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</si>
  <si>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</si>
  <si>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</si>
  <si>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</si>
  <si>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</si>
  <si>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</si>
  <si>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</si>
  <si>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</si>
  <si>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</si>
  <si>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</si>
  <si>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</si>
  <si>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</si>
  <si>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</si>
  <si>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</si>
  <si>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</si>
  <si>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</si>
  <si>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</si>
  <si>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</si>
  <si>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</si>
  <si>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</si>
  <si>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</si>
  <si>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</si>
  <si>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</si>
  <si>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</si>
  <si>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</si>
  <si>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</si>
  <si>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</si>
  <si>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</si>
  <si>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</si>
  <si>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</si>
  <si>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</si>
  <si>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</si>
  <si>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</si>
  <si>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</si>
  <si>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</si>
  <si>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</si>
  <si>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</si>
  <si>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</si>
  <si>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</si>
  <si>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</si>
  <si>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</si>
  <si>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</si>
  <si>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</si>
  <si>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</si>
  <si>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</si>
  <si>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</si>
  <si>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</si>
  <si>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</si>
  <si>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</si>
  <si>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</si>
  <si>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</si>
  <si>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</si>
  <si>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</si>
  <si>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</si>
  <si>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</si>
  <si>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</si>
  <si>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</si>
  <si>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</si>
  <si>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</si>
  <si>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</si>
  <si>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</si>
  <si>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</si>
  <si>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</si>
  <si>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</si>
  <si>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</si>
  <si>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</si>
  <si>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</si>
  <si>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</si>
  <si>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</si>
  <si>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</si>
  <si>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</si>
  <si>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</si>
  <si>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</si>
  <si>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</si>
  <si>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</si>
  <si>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</si>
  <si>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</si>
  <si>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</si>
  <si>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</si>
  <si>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</si>
  <si>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</si>
  <si>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</si>
  <si>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</si>
  <si>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</si>
  <si>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</si>
  <si>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</si>
  <si>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</si>
  <si>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</si>
  <si>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</si>
  <si>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</si>
  <si>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</si>
  <si>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</si>
  <si>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</si>
  <si>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</si>
  <si>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</si>
  <si>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</si>
  <si>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</si>
  <si>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</si>
  <si>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</si>
  <si>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</si>
  <si>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</si>
  <si>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</si>
  <si>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</si>
  <si>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</si>
  <si>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</si>
  <si>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</si>
  <si>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</si>
  <si>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</si>
  <si>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</si>
  <si>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</si>
  <si>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</si>
  <si>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</si>
  <si>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</si>
  <si>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</si>
  <si>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</si>
  <si>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</si>
  <si>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</si>
  <si>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</si>
  <si>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</si>
  <si>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</si>
  <si>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</si>
  <si>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</si>
  <si>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</si>
  <si>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</si>
  <si>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</si>
  <si>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</si>
  <si>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</si>
  <si>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</si>
  <si>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</si>
  <si>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</si>
  <si>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</si>
  <si>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</si>
  <si>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</si>
  <si>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</si>
  <si>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</si>
  <si>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</si>
  <si>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</si>
  <si>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</si>
  <si>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</si>
  <si>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</si>
  <si>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</si>
  <si>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</si>
  <si>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</si>
  <si>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</si>
  <si>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</si>
  <si>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</si>
  <si>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</si>
  <si>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</si>
  <si>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</si>
  <si>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</si>
  <si>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</si>
  <si>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</si>
  <si>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</si>
  <si>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</si>
  <si>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</si>
  <si>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</si>
  <si>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</si>
  <si>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</si>
  <si>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</si>
  <si>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</si>
  <si>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</si>
  <si>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</si>
  <si>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</si>
  <si>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</si>
  <si>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</si>
  <si>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</si>
  <si>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</si>
  <si>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</si>
  <si>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</si>
  <si>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</si>
  <si>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</si>
  <si>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</si>
  <si>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</si>
  <si>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</si>
  <si>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</si>
  <si>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</si>
  <si>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</si>
  <si>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</si>
  <si>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</si>
  <si>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</si>
  <si>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</si>
  <si>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</si>
  <si>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</si>
  <si>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</si>
  <si>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</si>
  <si>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</si>
  <si>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</si>
  <si>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</si>
  <si>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</si>
  <si>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</si>
  <si>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</si>
  <si>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</si>
  <si>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</si>
  <si>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</si>
  <si>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</si>
  <si>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</si>
  <si>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</si>
  <si>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</si>
  <si>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</si>
  <si>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</si>
  <si>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</si>
  <si>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</si>
  <si>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</si>
  <si>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</si>
  <si>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</si>
  <si>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</si>
  <si>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</si>
  <si>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</si>
  <si>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</si>
  <si>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</si>
  <si>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</si>
  <si>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</si>
  <si>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</si>
  <si>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</si>
  <si>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</si>
  <si>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</si>
  <si>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</si>
  <si>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</si>
  <si>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</si>
  <si>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</si>
  <si>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</si>
  <si>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</si>
  <si>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</si>
  <si>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</si>
  <si>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</si>
  <si>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</si>
  <si>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</si>
  <si>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</si>
  <si>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</si>
  <si>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</si>
  <si>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</si>
  <si>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</si>
  <si>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</si>
  <si>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</si>
  <si>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</si>
  <si>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</si>
  <si>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</si>
  <si>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</si>
  <si>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</si>
  <si>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</si>
  <si>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</si>
  <si>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</si>
  <si>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</si>
  <si>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</si>
  <si>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</si>
  <si>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</si>
  <si>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</si>
  <si>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</si>
  <si>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</si>
  <si>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</si>
  <si>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</si>
  <si>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</si>
  <si>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</si>
  <si>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</si>
  <si>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</si>
  <si>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</si>
  <si>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</si>
  <si>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</si>
  <si>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</si>
  <si>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</si>
  <si>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</si>
  <si>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</si>
  <si>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</si>
  <si>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</si>
  <si>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</si>
  <si>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</si>
  <si>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</si>
  <si>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</si>
  <si>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</si>
  <si>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</si>
  <si>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</si>
  <si>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</si>
  <si>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</si>
  <si>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</si>
  <si>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</si>
  <si>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</si>
  <si>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</si>
  <si>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</si>
  <si>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</si>
  <si>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</si>
  <si>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</si>
  <si>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</si>
  <si>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</si>
  <si>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</si>
  <si>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</si>
  <si>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</si>
  <si>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</si>
  <si>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</si>
  <si>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</si>
  <si>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</si>
  <si>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</si>
  <si>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</si>
  <si>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</si>
  <si>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</si>
  <si>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</si>
  <si>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</si>
  <si>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</si>
  <si>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</si>
  <si>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</si>
  <si>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</si>
  <si>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</si>
  <si>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</si>
  <si>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</si>
  <si>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</si>
  <si>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</si>
  <si>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</si>
  <si>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</si>
  <si>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</si>
  <si>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</si>
  <si>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</si>
  <si>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</si>
  <si>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</si>
  <si>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</si>
  <si>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</si>
  <si>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</si>
  <si>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</si>
  <si>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</si>
  <si>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</si>
  <si>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</si>
  <si>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</si>
  <si>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</si>
  <si>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</si>
  <si>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</si>
  <si>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</si>
  <si>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</si>
  <si>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</si>
  <si>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</si>
  <si>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</si>
  <si>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</si>
  <si>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</si>
  <si>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</si>
  <si>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</si>
  <si>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</si>
  <si>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</si>
  <si>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</si>
  <si>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</si>
  <si>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</si>
  <si>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</si>
  <si>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</si>
  <si>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</si>
  <si>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</si>
  <si>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</si>
  <si>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</si>
  <si>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</si>
  <si>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</si>
  <si>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</si>
  <si>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</si>
  <si>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</si>
  <si>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</si>
  <si>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</si>
  <si>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</si>
  <si>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</si>
  <si>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</si>
  <si>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</si>
  <si>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</si>
  <si>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</si>
  <si>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</si>
  <si>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</si>
  <si>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</si>
  <si>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</si>
  <si>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</si>
  <si>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</si>
  <si>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</si>
  <si>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</si>
  <si>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</si>
  <si>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</si>
  <si>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</si>
  <si>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</si>
  <si>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</si>
  <si>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</si>
  <si>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</si>
  <si>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</si>
  <si>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</si>
  <si>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</si>
  <si>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</si>
  <si>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</si>
  <si>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</si>
  <si>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</si>
  <si>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</si>
  <si>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</si>
  <si>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</si>
  <si>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</si>
  <si>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</si>
  <si>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</si>
  <si>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</si>
  <si>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</si>
  <si>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</si>
  <si>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</si>
  <si>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</si>
  <si>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</si>
  <si>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</si>
  <si>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</si>
  <si>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</si>
  <si>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</si>
  <si>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</si>
  <si>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</si>
  <si>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</si>
  <si>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</si>
  <si>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</si>
  <si>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</si>
  <si>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</si>
  <si>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</si>
  <si>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</si>
  <si>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</si>
  <si>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</si>
  <si>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</si>
  <si>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</si>
  <si>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</si>
  <si>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</si>
  <si>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</si>
  <si>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</si>
  <si>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</si>
  <si>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</si>
  <si>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</si>
  <si>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</si>
  <si>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</si>
  <si>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</si>
  <si>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</si>
  <si>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</si>
  <si>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</si>
  <si>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</si>
  <si>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</si>
  <si>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</si>
  <si>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</si>
  <si>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</si>
  <si>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</si>
  <si>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</si>
  <si>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</si>
  <si>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</si>
  <si>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</si>
  <si>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</si>
  <si>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</si>
  <si>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</si>
  <si>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</si>
  <si>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</si>
  <si>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</si>
  <si>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</si>
  <si>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</si>
  <si>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</si>
  <si>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</si>
  <si>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</si>
  <si>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</si>
  <si>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</si>
  <si>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</si>
  <si>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</si>
  <si>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</si>
  <si>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</si>
  <si>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</si>
  <si>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</si>
  <si>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</si>
  <si>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</si>
  <si>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</si>
  <si>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</si>
  <si>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</si>
  <si>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</si>
  <si>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</si>
  <si>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</si>
  <si>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</si>
  <si>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</si>
  <si>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</si>
  <si>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</si>
  <si>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</si>
  <si>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</si>
  <si>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</si>
  <si>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</si>
  <si>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</si>
  <si>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</si>
  <si>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</si>
  <si>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</si>
  <si>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</si>
  <si>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</si>
  <si>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</si>
  <si>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</si>
  <si>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</si>
  <si>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</si>
  <si>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</si>
  <si>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</si>
  <si>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</si>
  <si>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</si>
  <si>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</si>
  <si>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</si>
  <si>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</si>
  <si>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</si>
  <si>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</si>
  <si>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</si>
  <si>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</si>
  <si>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</si>
  <si>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</si>
  <si>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</si>
  <si>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</si>
  <si>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</si>
  <si>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</si>
  <si>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</si>
  <si>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</si>
  <si>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</si>
  <si>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</si>
  <si>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</si>
  <si>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</si>
  <si>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</si>
  <si>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</si>
  <si>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</si>
  <si>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</si>
  <si>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</si>
  <si>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</si>
  <si>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</si>
  <si>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</si>
  <si>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</si>
  <si>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</si>
  <si>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</si>
  <si>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</si>
  <si>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</si>
  <si>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</si>
  <si>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</si>
  <si>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</si>
  <si>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</si>
  <si>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</si>
  <si>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</si>
  <si>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</si>
  <si>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</si>
  <si>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</si>
  <si>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</si>
  <si>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</si>
  <si>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</si>
  <si>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</si>
  <si>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</si>
  <si>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</si>
  <si>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</si>
  <si>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</si>
  <si>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</si>
  <si>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</si>
  <si>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</si>
  <si>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</si>
  <si>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</si>
  <si>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</si>
  <si>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</si>
  <si>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</si>
  <si>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</si>
  <si>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</si>
  <si>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</si>
  <si>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</si>
  <si>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</si>
  <si>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</si>
  <si>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</si>
  <si>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</si>
  <si>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</si>
  <si>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</si>
  <si>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</si>
  <si>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</si>
  <si>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</si>
  <si>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</si>
  <si>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</si>
  <si>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</si>
  <si>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</si>
  <si>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</si>
  <si>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</si>
  <si>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</si>
  <si>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</si>
  <si>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</si>
  <si>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</si>
  <si>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</si>
  <si>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</si>
  <si>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</si>
  <si>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</si>
  <si>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</si>
  <si>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</si>
  <si>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</si>
  <si>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</si>
  <si>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</si>
  <si>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</si>
  <si>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</si>
  <si>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</si>
  <si>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</si>
  <si>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</si>
  <si>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</si>
  <si>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</si>
  <si>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</si>
  <si>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</si>
  <si>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</si>
  <si>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</si>
  <si>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</si>
  <si>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</si>
  <si>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</si>
  <si>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</si>
  <si>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</si>
  <si>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</si>
  <si>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</si>
  <si>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</si>
  <si>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</si>
  <si>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</si>
  <si>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</si>
  <si>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</si>
  <si>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</si>
  <si>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</si>
  <si>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</si>
  <si>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</si>
  <si>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</si>
  <si>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</si>
  <si>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</si>
  <si>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</si>
  <si>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</si>
  <si>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</si>
  <si>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</si>
  <si>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</si>
  <si>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</si>
  <si>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</si>
  <si>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</si>
  <si>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</si>
  <si>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</si>
  <si>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</si>
  <si>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</si>
  <si>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</si>
  <si>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</si>
  <si>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</si>
  <si>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</si>
  <si>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</si>
  <si>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</si>
  <si>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</si>
  <si>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</si>
  <si>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</si>
  <si>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</si>
  <si>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</si>
  <si>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</si>
  <si>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</si>
  <si>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</si>
  <si>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</si>
  <si>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</si>
  <si>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</si>
  <si>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</si>
  <si>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</si>
  <si>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</si>
  <si>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</si>
  <si>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</si>
  <si>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</si>
  <si>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</si>
  <si>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</si>
  <si>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</si>
  <si>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</si>
  <si>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</si>
  <si>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</si>
  <si>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</si>
  <si>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</si>
  <si>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</si>
  <si>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</si>
  <si>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</si>
  <si>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</si>
  <si>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</si>
  <si>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</si>
  <si>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</si>
  <si>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</si>
  <si>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</si>
  <si>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</si>
  <si>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</si>
  <si>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</si>
  <si>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</si>
  <si>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</si>
  <si>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</si>
  <si>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</si>
  <si>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</si>
  <si>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</si>
  <si>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</si>
  <si>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</si>
  <si>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</si>
  <si>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</si>
  <si>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</si>
  <si>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</si>
  <si>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</si>
  <si>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</si>
  <si>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</si>
  <si>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</si>
  <si>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</si>
  <si>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</si>
  <si>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</si>
  <si>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</si>
  <si>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</si>
  <si>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</si>
  <si>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</si>
  <si>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</si>
  <si>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</si>
  <si>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</si>
  <si>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</si>
  <si>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</si>
  <si>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</si>
  <si>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</si>
  <si>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</si>
  <si>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</si>
  <si>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</si>
  <si>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</si>
  <si>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</si>
  <si>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</si>
  <si>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</si>
  <si>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</si>
  <si>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</si>
  <si>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</si>
  <si>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</si>
  <si>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</si>
  <si>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</si>
  <si>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</si>
  <si>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</si>
  <si>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</si>
  <si>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</si>
  <si>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</si>
  <si>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</si>
  <si>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</si>
  <si>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</si>
  <si>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</si>
  <si>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</si>
  <si>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</si>
  <si>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</si>
  <si>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</si>
  <si>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</si>
  <si>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</si>
  <si>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</si>
  <si>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</si>
  <si>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</si>
  <si>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</si>
  <si>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</si>
  <si>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</si>
  <si>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</si>
  <si>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</si>
  <si>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</si>
  <si>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</si>
  <si>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</si>
  <si>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</si>
  <si>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</si>
  <si>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</si>
  <si>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</si>
  <si>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</si>
  <si>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</si>
  <si>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</si>
  <si>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</si>
  <si>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</si>
  <si>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</si>
  <si>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</si>
  <si>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</si>
  <si>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</si>
  <si>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</si>
  <si>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</si>
  <si>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</si>
  <si>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</si>
  <si>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</si>
  <si>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</si>
  <si>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</si>
  <si>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</si>
  <si>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</si>
  <si>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</si>
  <si>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</si>
  <si>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</si>
  <si>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</si>
  <si>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</si>
  <si>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</si>
  <si>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</si>
  <si>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</si>
  <si>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</si>
  <si>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</si>
  <si>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</si>
  <si>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</si>
  <si>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</si>
  <si>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</si>
  <si>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</si>
  <si>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</si>
  <si>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</si>
  <si>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</si>
  <si>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</si>
  <si>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</si>
  <si>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</si>
  <si>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</si>
  <si>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</si>
  <si>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</si>
  <si>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</si>
  <si>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</si>
  <si>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</si>
  <si>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</si>
  <si>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</si>
  <si>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</si>
  <si>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</si>
  <si>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</si>
  <si>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</si>
  <si>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</si>
  <si>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</si>
  <si>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</si>
  <si>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</si>
  <si>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</si>
  <si>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</si>
  <si>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</si>
  <si>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</si>
  <si>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</si>
  <si>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</si>
  <si>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</si>
  <si>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</si>
  <si>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</si>
  <si>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</si>
  <si>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</si>
  <si>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</si>
  <si>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</si>
  <si>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</si>
  <si>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</si>
  <si>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</si>
  <si>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</si>
  <si>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</si>
  <si>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</si>
  <si>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</si>
  <si>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</si>
  <si>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</si>
  <si>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</si>
  <si>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</si>
  <si>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</si>
  <si>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</si>
  <si>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</si>
  <si>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</si>
  <si>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</si>
  <si>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</si>
  <si>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</si>
  <si>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</si>
  <si>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</si>
  <si>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</si>
  <si>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</si>
  <si>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</si>
  <si>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</si>
  <si>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</si>
  <si>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</si>
  <si>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</si>
  <si>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</si>
  <si>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</si>
  <si>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</si>
  <si>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</si>
  <si>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</si>
  <si>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</si>
  <si>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</si>
  <si>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</si>
  <si>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</si>
  <si>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</si>
  <si>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</si>
  <si>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</si>
  <si>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</si>
  <si>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</si>
  <si>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</si>
  <si>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</si>
  <si>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</si>
  <si>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</si>
  <si>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</si>
  <si>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</si>
  <si>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</si>
  <si>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</si>
  <si>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</si>
  <si>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</si>
  <si>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</si>
  <si>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</si>
  <si>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</si>
  <si>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</si>
  <si>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</si>
  <si>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</si>
  <si>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</si>
  <si>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</si>
  <si>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</si>
  <si>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</si>
  <si>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</si>
  <si>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</si>
  <si>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</si>
  <si>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</si>
  <si>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</si>
  <si>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</si>
  <si>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</si>
  <si>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</si>
  <si>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</si>
  <si>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</si>
  <si>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</si>
  <si>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</si>
  <si>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</si>
  <si>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</si>
  <si>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</si>
  <si>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</si>
  <si>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</si>
  <si>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</si>
  <si>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</si>
  <si>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</si>
  <si>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</si>
  <si>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</si>
  <si>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</si>
  <si>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</si>
  <si>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</si>
  <si>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</si>
  <si>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</si>
  <si>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</si>
  <si>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</si>
  <si>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</si>
  <si>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</si>
  <si>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</si>
  <si>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</si>
  <si>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</si>
  <si>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</si>
  <si>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</si>
  <si>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</si>
  <si>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</si>
  <si>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</si>
  <si>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</si>
  <si>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</si>
  <si>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</si>
  <si>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</si>
  <si>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</si>
  <si>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</si>
  <si>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</si>
  <si>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</si>
  <si>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</si>
  <si>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</si>
  <si>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</si>
  <si>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</si>
  <si>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</si>
  <si>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</si>
  <si>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</si>
  <si>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</si>
  <si>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</si>
  <si>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</si>
  <si>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</si>
  <si>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</si>
  <si>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</si>
  <si>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</si>
  <si>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</si>
  <si>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</si>
  <si>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</si>
  <si>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</si>
  <si>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</si>
  <si>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</si>
  <si>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</si>
  <si>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</si>
  <si>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</si>
  <si>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</si>
  <si>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</si>
  <si>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</si>
  <si>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</si>
  <si>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</si>
  <si>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</si>
  <si>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</si>
  <si>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</si>
  <si>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</si>
  <si>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</si>
  <si>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</si>
  <si>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</si>
  <si>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</si>
  <si>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</si>
  <si>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</si>
  <si>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</si>
  <si>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</si>
  <si>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</si>
  <si>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</si>
  <si>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</si>
  <si>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</si>
  <si>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</si>
  <si>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</si>
  <si>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</si>
  <si>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</si>
  <si>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</si>
  <si>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</si>
  <si>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</si>
  <si>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</si>
  <si>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</si>
  <si>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</si>
  <si>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</si>
  <si>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</si>
  <si>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</si>
  <si>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</si>
  <si>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</si>
  <si>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</si>
  <si>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</si>
  <si>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</si>
  <si>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</si>
  <si>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</si>
  <si>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</si>
  <si>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</si>
  <si>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</si>
  <si>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</si>
  <si>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</si>
  <si>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</si>
  <si>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</si>
  <si>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</si>
  <si>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</si>
  <si>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</si>
  <si>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</si>
  <si>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</si>
  <si>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</si>
  <si>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</si>
  <si>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</si>
  <si>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</si>
  <si>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</si>
  <si>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</si>
  <si>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</si>
  <si>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</si>
  <si>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</si>
  <si>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</si>
  <si>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</si>
  <si>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</si>
  <si>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</si>
  <si>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</si>
  <si>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</si>
  <si>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</si>
  <si>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</si>
  <si>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</si>
  <si>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</si>
  <si>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</si>
  <si>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</si>
  <si>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</si>
  <si>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</si>
  <si>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</si>
  <si>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</si>
  <si>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</si>
  <si>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</si>
  <si>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</si>
  <si>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</si>
  <si>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</si>
  <si>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</si>
  <si>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</si>
  <si>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</si>
  <si>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</si>
  <si>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</si>
  <si>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</si>
  <si>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</si>
  <si>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</si>
  <si>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</si>
  <si>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</si>
  <si>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</si>
  <si>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</si>
  <si>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</si>
  <si>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</si>
  <si>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</si>
  <si>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</si>
  <si>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</si>
  <si>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</si>
  <si>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</si>
  <si>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</si>
  <si>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</si>
  <si>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</si>
  <si>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</si>
  <si>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</si>
  <si>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</si>
  <si>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</si>
  <si>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</si>
  <si>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</si>
  <si>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</si>
  <si>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</si>
  <si>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</si>
  <si>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</si>
  <si>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</si>
  <si>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</si>
  <si>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</si>
  <si>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</si>
  <si>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</si>
  <si>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</si>
  <si>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</si>
  <si>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</si>
  <si>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</si>
  <si>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</si>
  <si>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</si>
  <si>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</si>
  <si>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</si>
  <si>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</si>
  <si>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</si>
  <si>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</si>
  <si>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</si>
  <si>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</si>
  <si>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</si>
  <si>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</si>
  <si>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</si>
  <si>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</si>
  <si>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</si>
  <si>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</si>
  <si>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</si>
  <si>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</si>
  <si>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</si>
  <si>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</si>
  <si>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</si>
  <si>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</si>
  <si>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</si>
  <si>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</si>
  <si>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</si>
  <si>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</si>
  <si>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</si>
  <si>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</si>
  <si>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</si>
  <si>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</si>
  <si>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</si>
  <si>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</si>
  <si>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</si>
  <si>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</si>
  <si>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</si>
  <si>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</si>
  <si>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</si>
  <si>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</si>
  <si>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</si>
  <si>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</si>
  <si>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</si>
  <si>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</si>
  <si>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</si>
  <si>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</si>
  <si>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</si>
  <si>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</si>
  <si>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</si>
  <si>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</si>
  <si>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</si>
  <si>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</si>
  <si>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</si>
  <si>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</si>
  <si>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</si>
  <si>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</si>
  <si>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</si>
  <si>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</si>
  <si>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</si>
  <si>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</si>
  <si>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</si>
  <si>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</si>
  <si>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</si>
  <si>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</si>
  <si>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</si>
  <si>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</si>
  <si>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</si>
  <si>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</si>
  <si>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</si>
  <si>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</si>
  <si>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</si>
  <si>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</si>
  <si>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</si>
  <si>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</si>
  <si>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</si>
  <si>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</si>
  <si>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</si>
  <si>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</si>
  <si>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</si>
  <si>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</si>
  <si>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</si>
  <si>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</si>
  <si>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</si>
  <si>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</si>
  <si>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</si>
  <si>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</si>
  <si>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</si>
  <si>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</si>
  <si>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</si>
  <si>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</si>
  <si>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</si>
  <si>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</si>
  <si>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</si>
  <si>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</si>
  <si>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</si>
  <si>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</si>
  <si>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</si>
  <si>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</si>
  <si>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</si>
  <si>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</si>
  <si>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</si>
  <si>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</si>
  <si>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</si>
  <si>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</si>
  <si>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</si>
  <si>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</si>
  <si>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</si>
  <si>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</si>
  <si>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</si>
  <si>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</si>
  <si>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</si>
  <si>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</si>
  <si>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</si>
  <si>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</si>
  <si>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</si>
  <si>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</si>
  <si>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</si>
  <si>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</si>
  <si>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</si>
  <si>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</si>
  <si>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</si>
  <si>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</si>
  <si>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</si>
  <si>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</si>
  <si>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</si>
  <si>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</si>
  <si>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</si>
  <si>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</si>
  <si>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</si>
  <si>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</si>
  <si>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</si>
  <si>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</si>
  <si>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</si>
  <si>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</si>
  <si>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</si>
  <si>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</si>
  <si>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</si>
  <si>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</si>
  <si>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</si>
  <si>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</si>
  <si>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</si>
  <si>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</si>
  <si>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</si>
  <si>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</si>
  <si>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</si>
  <si>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</si>
  <si>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</si>
  <si>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</si>
  <si>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</si>
  <si>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</si>
  <si>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</si>
  <si>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</si>
  <si>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</si>
  <si>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</si>
  <si>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</si>
  <si>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</si>
  <si>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</si>
  <si>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</si>
  <si>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</si>
  <si>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</si>
  <si>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</si>
  <si>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</si>
  <si>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</si>
  <si>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</si>
  <si>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</si>
  <si>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</si>
  <si>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</si>
  <si>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</si>
  <si>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</si>
  <si>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</si>
  <si>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</si>
  <si>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</si>
  <si>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</si>
  <si>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</si>
  <si>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</si>
  <si>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</si>
  <si>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</si>
  <si>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</si>
  <si>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</si>
  <si>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</si>
  <si>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</si>
  <si>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</si>
  <si>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</si>
  <si>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</si>
  <si>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</si>
  <si>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</si>
  <si>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</si>
  <si>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</si>
  <si>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</si>
  <si>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</si>
  <si>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</si>
  <si>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</si>
  <si>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</si>
  <si>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</si>
  <si>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</si>
  <si>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</si>
  <si>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</si>
  <si>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</si>
  <si>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</si>
  <si>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</si>
  <si>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</si>
  <si>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</si>
  <si>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</si>
  <si>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</si>
  <si>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</si>
  <si>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</si>
  <si>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</si>
  <si>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</si>
  <si>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</si>
  <si>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</si>
  <si>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</si>
  <si>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</si>
  <si>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</si>
  <si>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</si>
  <si>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</si>
  <si>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</si>
  <si>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</si>
  <si>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</si>
  <si>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</si>
  <si>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</si>
  <si>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</si>
  <si>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</si>
  <si>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</si>
  <si>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</si>
  <si>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</si>
  <si>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</si>
  <si>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</si>
  <si>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</si>
  <si>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</si>
  <si>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</si>
  <si>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</si>
  <si>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</si>
  <si>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</si>
  <si>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</si>
  <si>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</si>
  <si>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</si>
  <si>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</si>
  <si>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</si>
  <si>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</si>
  <si>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</si>
  <si>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</si>
  <si>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</si>
  <si>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</si>
  <si>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</si>
  <si>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</si>
  <si>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</si>
  <si>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</si>
  <si>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</si>
  <si>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</si>
  <si>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</si>
  <si>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</si>
  <si>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</si>
  <si>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</si>
  <si>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</si>
  <si>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</si>
  <si>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</si>
  <si>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</si>
  <si>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</si>
  <si>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</si>
  <si>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</si>
  <si>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</si>
  <si>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</si>
  <si>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</si>
  <si>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</si>
  <si>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</si>
  <si>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</si>
  <si>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</si>
  <si>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</si>
  <si>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</si>
  <si>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</si>
  <si>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</si>
  <si>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</si>
  <si>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</si>
  <si>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</si>
  <si>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</si>
  <si>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</si>
  <si>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</si>
  <si>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</si>
  <si>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</si>
  <si>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</si>
  <si>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</si>
  <si>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</si>
  <si>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</si>
  <si>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</si>
  <si>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</si>
  <si>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</si>
  <si>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</si>
  <si>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</si>
  <si>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</si>
  <si>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</si>
  <si>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</si>
  <si>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</si>
  <si>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</si>
  <si>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</si>
  <si>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</si>
  <si>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</si>
  <si>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</si>
  <si>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</si>
  <si>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</si>
  <si>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</si>
  <si>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</si>
  <si>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</si>
  <si>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</si>
  <si>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</si>
  <si>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</si>
  <si>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</si>
  <si>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</si>
  <si>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</si>
  <si>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</si>
  <si>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</si>
  <si>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</si>
  <si>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</si>
  <si>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</si>
  <si>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</si>
  <si>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</si>
  <si>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</si>
  <si>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</si>
  <si>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</si>
  <si>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</si>
  <si>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</si>
  <si>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</si>
  <si>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</si>
  <si>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</si>
  <si>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</si>
  <si>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</si>
  <si>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</si>
  <si>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</si>
  <si>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</si>
  <si>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</si>
  <si>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</si>
  <si>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</si>
  <si>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</si>
  <si>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</si>
  <si>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</si>
  <si>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</si>
  <si>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</si>
  <si>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</si>
  <si>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</si>
  <si>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</si>
  <si>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</si>
  <si>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</si>
  <si>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</si>
  <si>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</si>
  <si>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</si>
  <si>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</si>
  <si>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</si>
  <si>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</si>
  <si>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</si>
  <si>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</si>
  <si>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</si>
  <si>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</si>
  <si>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</si>
  <si>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</si>
  <si>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</si>
  <si>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</si>
  <si>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</si>
  <si>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</si>
  <si>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</si>
  <si>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</si>
  <si>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</si>
  <si>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</si>
  <si>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</si>
  <si>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</si>
  <si>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</si>
  <si>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</si>
  <si>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</si>
  <si>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</si>
  <si>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</si>
  <si>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</si>
  <si>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</si>
  <si>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</si>
  <si>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</si>
  <si>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</si>
  <si>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</si>
  <si>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</si>
  <si>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</si>
  <si>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</si>
  <si>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</si>
  <si>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</si>
  <si>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</si>
  <si>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</si>
  <si>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</si>
  <si>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</si>
  <si>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</si>
  <si>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</si>
  <si>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</si>
  <si>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</si>
  <si>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</si>
  <si>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</si>
  <si>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</si>
  <si>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</si>
  <si>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</si>
  <si>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</si>
  <si>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</si>
  <si>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</si>
  <si>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</si>
  <si>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</si>
  <si>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</si>
  <si>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</si>
  <si>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</si>
  <si>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</si>
  <si>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</si>
  <si>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</si>
  <si>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</si>
  <si>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</si>
  <si>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</si>
  <si>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</si>
  <si>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</si>
  <si>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</si>
  <si>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</si>
  <si>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</si>
  <si>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</si>
  <si>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</si>
  <si>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</si>
  <si>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</si>
  <si>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</si>
  <si>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</si>
  <si>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</si>
  <si>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</si>
  <si>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</si>
  <si>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</si>
  <si>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</si>
  <si>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</si>
  <si>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</si>
  <si>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</si>
  <si>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</si>
  <si>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</si>
  <si>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</si>
  <si>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</si>
  <si>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</si>
  <si>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</si>
  <si>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</si>
  <si>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</si>
  <si>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</si>
  <si>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</si>
  <si>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</si>
  <si>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</si>
  <si>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</si>
  <si>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</si>
  <si>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</si>
  <si>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</si>
  <si>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</si>
  <si>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</si>
  <si>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</si>
  <si>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</si>
  <si>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</si>
  <si>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</si>
  <si>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</si>
  <si>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</si>
  <si>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</si>
  <si>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</si>
  <si>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</si>
  <si>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</si>
  <si>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</si>
  <si>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</si>
  <si>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</si>
  <si>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</si>
  <si>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</si>
  <si>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</si>
  <si>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</si>
  <si>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</si>
  <si>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</si>
  <si>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</si>
  <si>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</si>
  <si>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</si>
  <si>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</si>
  <si>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</si>
  <si>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</si>
  <si>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</si>
  <si>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</si>
  <si>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</si>
  <si>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</si>
  <si>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</si>
  <si>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</si>
  <si>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</si>
  <si>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</si>
  <si>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</si>
  <si>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</si>
  <si>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</si>
  <si>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</si>
  <si>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</si>
  <si>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</si>
  <si>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</si>
  <si>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</si>
  <si>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</si>
  <si>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</si>
  <si>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</si>
  <si>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</si>
  <si>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</si>
  <si>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</si>
  <si>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</si>
  <si>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</si>
  <si>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</si>
  <si>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</si>
  <si>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</si>
  <si>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</si>
  <si>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</si>
  <si>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</si>
  <si>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</si>
  <si>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</si>
  <si>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</si>
  <si>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</si>
  <si>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</si>
  <si>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</si>
  <si>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</si>
  <si>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</si>
  <si>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</si>
  <si>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</si>
  <si>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</si>
  <si>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</si>
  <si>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</si>
  <si>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</si>
  <si>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</si>
  <si>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</si>
  <si>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</si>
  <si>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</si>
  <si>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</si>
  <si>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</si>
  <si>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</si>
  <si>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</si>
  <si>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</si>
  <si>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</si>
  <si>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</si>
  <si>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</si>
  <si>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</si>
  <si>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</si>
  <si>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</si>
  <si>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</si>
  <si>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</si>
  <si>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</si>
  <si>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</si>
  <si>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</si>
  <si>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</si>
  <si>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</si>
  <si>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</si>
  <si>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</si>
  <si>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</si>
  <si>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</si>
  <si>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</si>
  <si>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</si>
  <si>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</si>
  <si>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</si>
  <si>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</si>
  <si>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</si>
  <si>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</si>
  <si>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</si>
  <si>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</si>
  <si>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</si>
  <si>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</si>
  <si>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</si>
  <si>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</si>
  <si>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</si>
  <si>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</si>
  <si>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</si>
  <si>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</si>
  <si>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</si>
  <si>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</si>
  <si>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</si>
  <si>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</si>
  <si>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</si>
  <si>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</si>
  <si>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</si>
  <si>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</si>
  <si>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</si>
  <si>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</si>
  <si>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</si>
  <si>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</si>
  <si>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</si>
  <si>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</si>
  <si>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</si>
  <si>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</si>
  <si>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</si>
  <si>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</si>
  <si>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</si>
  <si>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</si>
  <si>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</si>
  <si>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</si>
  <si>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</si>
  <si>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</si>
  <si>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</si>
  <si>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</si>
  <si>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</si>
  <si>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</si>
  <si>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</si>
  <si>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</si>
  <si>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</si>
  <si>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</si>
  <si>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</si>
  <si>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</si>
  <si>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</si>
  <si>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</si>
  <si>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</si>
  <si>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</si>
  <si>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</si>
  <si>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</si>
  <si>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</si>
  <si>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</si>
  <si>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</si>
  <si>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</si>
  <si>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</si>
  <si>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</si>
  <si>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</si>
  <si>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</si>
  <si>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</si>
  <si>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</si>
  <si>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</si>
  <si>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</si>
  <si>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</si>
  <si>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</si>
  <si>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</si>
  <si>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</si>
  <si>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</si>
  <si>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</si>
  <si>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</si>
  <si>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</si>
  <si>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</si>
  <si>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</si>
  <si>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</si>
  <si>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</si>
  <si>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</si>
  <si>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</si>
  <si>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</si>
  <si>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</si>
  <si>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</si>
  <si>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</si>
  <si>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</si>
  <si>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</si>
  <si>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</si>
  <si>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</si>
  <si>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</si>
  <si>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</si>
  <si>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</si>
  <si>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</si>
  <si>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</si>
  <si>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</si>
  <si>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</si>
  <si>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</si>
  <si>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</si>
  <si>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</si>
  <si>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</si>
  <si>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</si>
  <si>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</si>
  <si>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</si>
  <si>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</si>
  <si>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</si>
  <si>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</si>
  <si>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</si>
  <si>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</si>
  <si>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</si>
  <si>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</si>
  <si>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</si>
  <si>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</si>
  <si>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</si>
  <si>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</si>
  <si>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</si>
  <si>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</si>
  <si>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</si>
  <si>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</si>
  <si>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</si>
  <si>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</si>
  <si>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</si>
  <si>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</si>
  <si>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</si>
  <si>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</si>
  <si>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</si>
  <si>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</si>
  <si>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</si>
  <si>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</si>
  <si>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</si>
  <si>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</si>
  <si>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</si>
  <si>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</si>
  <si>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</si>
  <si>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</si>
  <si>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</si>
  <si>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</si>
  <si>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</si>
  <si>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</si>
  <si>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</si>
  <si>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</si>
  <si>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</si>
  <si>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</si>
  <si>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</si>
  <si>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</si>
  <si>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</si>
  <si>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</si>
  <si>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</si>
  <si>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</si>
  <si>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</si>
  <si>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</si>
  <si>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</si>
  <si>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</si>
  <si>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</si>
  <si>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</si>
  <si>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</si>
  <si>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</si>
  <si>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</si>
  <si>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</si>
  <si>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</si>
  <si>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</si>
  <si>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</si>
  <si>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</si>
  <si>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</si>
  <si>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</si>
  <si>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</si>
  <si>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</si>
  <si>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</si>
  <si>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</si>
  <si>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</si>
  <si>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</si>
  <si>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</si>
  <si>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</si>
  <si>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</si>
  <si>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</si>
  <si>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</si>
  <si>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</si>
  <si>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</si>
  <si>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</si>
  <si>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</si>
  <si>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</si>
  <si>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</si>
  <si>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</si>
  <si>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</si>
  <si>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</si>
  <si>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</si>
  <si>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</si>
  <si>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</si>
  <si>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</si>
  <si>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</si>
  <si>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</si>
  <si>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</si>
  <si>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</si>
  <si>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</si>
  <si>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</si>
  <si>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</si>
  <si>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</si>
  <si>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</si>
  <si>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</si>
  <si>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</si>
  <si>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</si>
  <si>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</si>
  <si>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</si>
  <si>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</si>
  <si>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</si>
  <si>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</si>
  <si>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</si>
  <si>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</si>
  <si>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</si>
  <si>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</si>
  <si>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</si>
  <si>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</si>
  <si>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</si>
  <si>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</si>
  <si>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</si>
  <si>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</si>
  <si>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</si>
  <si>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</si>
  <si>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</si>
  <si>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</si>
  <si>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</si>
  <si>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</si>
  <si>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</si>
  <si>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</si>
  <si>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</si>
  <si>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</si>
  <si>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</si>
  <si>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</si>
  <si>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</si>
  <si>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</si>
  <si>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</si>
  <si>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</si>
  <si>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</si>
  <si>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</si>
  <si>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</si>
  <si>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</si>
  <si>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</si>
  <si>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</si>
  <si>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</si>
  <si>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</si>
  <si>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</si>
  <si>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</si>
  <si>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</si>
  <si>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</si>
  <si>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</si>
  <si>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</si>
  <si>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</si>
  <si>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</si>
  <si>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</si>
  <si>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</si>
  <si>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</si>
  <si>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</si>
  <si>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</si>
  <si>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</si>
  <si>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</si>
  <si>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</si>
  <si>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</si>
  <si>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</si>
  <si>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</si>
  <si>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</si>
  <si>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</si>
  <si>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</si>
  <si>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</si>
  <si>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</si>
  <si>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</si>
  <si>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</si>
  <si>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</si>
  <si>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</si>
  <si>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</si>
  <si>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</si>
  <si>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</si>
  <si>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</si>
  <si>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</si>
  <si>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</si>
  <si>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</si>
  <si>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</si>
  <si>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</si>
  <si>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</si>
  <si>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</si>
  <si>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</si>
  <si>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</si>
  <si>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</si>
  <si>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</si>
  <si>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</si>
  <si>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</si>
  <si>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</si>
  <si>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</si>
  <si>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</si>
  <si>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</si>
  <si>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</si>
  <si>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</si>
  <si>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</si>
  <si>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</si>
  <si>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</si>
  <si>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</si>
  <si>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</si>
  <si>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</si>
  <si>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</si>
  <si>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</si>
  <si>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</si>
  <si>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</si>
  <si>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</si>
  <si>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</si>
  <si>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</si>
  <si>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</si>
  <si>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</si>
  <si>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</si>
  <si>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</si>
  <si>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</si>
  <si>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</si>
  <si>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</si>
  <si>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</si>
  <si>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</si>
  <si>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</si>
  <si>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</si>
  <si>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</si>
  <si>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</si>
  <si>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</si>
  <si>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Municipio de Tierra Blanca Guanajuato</t>
  </si>
  <si>
    <t>Al 31 de diciembre de 2021 y al 30 de septiembre de 2022 (b)</t>
  </si>
  <si>
    <t>Del 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</si>
</sst>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7">
    <xf numFmtId="0" fontId="0" fillId="0" borderId="0"/>
    <xf numFmtId="43" fontId="15" fillId="0" borderId="0" applyFont="0" applyFill="0" applyBorder="0" applyAlignment="0" applyProtection="0"/>
    <xf numFmtId="0" fontId="16" fillId="0" borderId="0"/>
    <xf numFmtId="0" fontId="17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3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14" fillId="3" borderId="15" xfId="0" applyFont="1" applyFill="1" applyBorder="1"/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15" fillId="0" borderId="13" xfId="1" applyFont="1" applyFill="1" applyBorder="1" applyAlignment="1" applyProtection="1">
      <alignment horizontal="right" vertical="center"/>
      <protection locked="0"/>
    </xf>
    <xf numFmtId="43" fontId="0" fillId="0" borderId="13" xfId="1" applyFont="1" applyFill="1" applyBorder="1" applyAlignment="1" applyProtection="1">
      <alignment horizontal="right" vertical="center"/>
      <protection locked="0"/>
    </xf>
    <xf numFmtId="43" fontId="15" fillId="0" borderId="13" xfId="1" applyFont="1" applyFill="1" applyBorder="1" applyProtection="1">
      <protection locked="0"/>
    </xf>
    <xf numFmtId="43" fontId="15" fillId="0" borderId="13" xfId="1" applyFont="1" applyFill="1" applyBorder="1" applyProtection="1">
      <protection locked="0"/>
    </xf>
    <xf numFmtId="43" fontId="15" fillId="0" borderId="13" xfId="1" applyFont="1" applyFill="1" applyBorder="1" applyProtection="1"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0" fillId="0" borderId="8" xfId="0" applyNumberFormat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 wrapText="1"/>
      <protection locked="0"/>
    </xf>
    <xf numFmtId="43" fontId="15" fillId="0" borderId="8" xfId="1" applyFont="1" applyFill="1" applyBorder="1" applyAlignment="1" applyProtection="1">
      <alignment vertical="center"/>
      <protection locked="0"/>
    </xf>
    <xf numFmtId="43" fontId="15" fillId="0" borderId="13" xfId="5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4" fontId="0" fillId="0" borderId="12" xfId="0" applyNumberFormat="1" applyFont="1" applyFill="1" applyBorder="1" applyProtection="1">
      <protection locked="0"/>
    </xf>
    <xf numFmtId="43" fontId="1" fillId="4" borderId="13" xfId="0" applyNumberFormat="1" applyFont="1" applyFill="1" applyBorder="1" applyAlignment="1" applyProtection="1">
      <alignment vertical="center"/>
      <protection locked="0"/>
    </xf>
    <xf numFmtId="43" fontId="15" fillId="4" borderId="13" xfId="5" applyFont="1" applyFill="1" applyBorder="1" applyAlignment="1" applyProtection="1">
      <alignment vertical="center"/>
      <protection locked="0"/>
    </xf>
    <xf numFmtId="43" fontId="0" fillId="4" borderId="13" xfId="5" applyFont="1" applyFill="1" applyBorder="1" applyAlignment="1" applyProtection="1">
      <alignment vertical="center"/>
      <protection locked="0"/>
    </xf>
    <xf numFmtId="43" fontId="0" fillId="4" borderId="13" xfId="5" applyFont="1" applyFill="1" applyBorder="1" applyAlignment="1" applyProtection="1">
      <alignment vertical="center"/>
      <protection locked="0"/>
    </xf>
    <xf numFmtId="43" fontId="0" fillId="4" borderId="13" xfId="0" applyNumberFormat="1" applyFill="1" applyBorder="1" applyAlignment="1" applyProtection="1">
      <alignment vertical="center"/>
      <protection locked="0"/>
    </xf>
    <xf numFmtId="43" fontId="0" fillId="4" borderId="13" xfId="5" applyFont="1" applyFill="1" applyBorder="1" applyAlignment="1" applyProtection="1">
      <alignment vertical="center"/>
      <protection locked="0"/>
    </xf>
    <xf numFmtId="43" fontId="0" fillId="0" borderId="13" xfId="5" applyFont="1" applyFill="1" applyBorder="1" applyAlignment="1" applyProtection="1">
      <alignment vertical="center"/>
      <protection locked="0"/>
    </xf>
    <xf numFmtId="43" fontId="15" fillId="0" borderId="13" xfId="5" applyFont="1" applyFill="1" applyBorder="1" applyAlignment="1" applyProtection="1">
      <alignment vertical="center"/>
      <protection locked="0"/>
    </xf>
    <xf numFmtId="43" fontId="0" fillId="0" borderId="8" xfId="5" applyFont="1" applyFill="1" applyBorder="1" applyAlignment="1" applyProtection="1">
      <alignment vertical="center"/>
      <protection locked="0"/>
    </xf>
    <xf numFmtId="43" fontId="0" fillId="0" borderId="8" xfId="5" applyFont="1" applyFill="1" applyBorder="1" applyAlignment="1" applyProtection="1">
      <alignment vertical="center"/>
      <protection locked="0"/>
    </xf>
    <xf numFmtId="43" fontId="15" fillId="0" borderId="8" xfId="5" applyFont="1" applyFill="1" applyBorder="1" applyAlignment="1" applyProtection="1">
      <alignment vertical="center"/>
      <protection locked="0"/>
    </xf>
    <xf numFmtId="43" fontId="0" fillId="0" borderId="8" xfId="5" applyFont="1" applyFill="1" applyBorder="1" applyAlignment="1" applyProtection="1">
      <alignment horizontal="right" vertical="center"/>
      <protection locked="0"/>
    </xf>
    <xf numFmtId="43" fontId="0" fillId="0" borderId="8" xfId="5" applyFont="1" applyFill="1" applyBorder="1" applyAlignment="1" applyProtection="1">
      <alignment horizontal="right" vertical="center"/>
      <protection locked="0"/>
    </xf>
    <xf numFmtId="43" fontId="0" fillId="0" borderId="8" xfId="5" applyFont="1" applyFill="1" applyBorder="1" applyAlignment="1" applyProtection="1">
      <alignment horizontal="right" vertical="center"/>
      <protection locked="0"/>
    </xf>
    <xf numFmtId="43" fontId="0" fillId="0" borderId="8" xfId="5" applyFont="1" applyFill="1" applyBorder="1" applyAlignment="1" applyProtection="1">
      <alignment horizontal="right" vertical="center"/>
      <protection locked="0"/>
    </xf>
    <xf numFmtId="43" fontId="15" fillId="0" borderId="13" xfId="6" applyFont="1" applyFill="1" applyBorder="1" applyAlignment="1" applyProtection="1">
      <alignment horizontal="right" vertical="center"/>
      <protection locked="0"/>
    </xf>
    <xf numFmtId="43" fontId="0" fillId="0" borderId="13" xfId="6" applyFont="1" applyFill="1" applyBorder="1" applyAlignment="1" applyProtection="1">
      <alignment horizontal="right" vertical="center"/>
      <protection locked="0"/>
    </xf>
    <xf numFmtId="43" fontId="15" fillId="0" borderId="13" xfId="6" applyFont="1" applyFill="1" applyBorder="1" applyProtection="1">
      <protection locked="0"/>
    </xf>
    <xf numFmtId="43" fontId="6" fillId="0" borderId="13" xfId="6" applyFont="1" applyFill="1" applyBorder="1" applyProtection="1">
      <protection locked="0"/>
    </xf>
    <xf numFmtId="43" fontId="15" fillId="0" borderId="13" xfId="6" applyFont="1" applyFill="1" applyBorder="1" applyAlignment="1" applyProtection="1">
      <alignment vertical="center"/>
      <protection locked="0"/>
    </xf>
    <xf numFmtId="43" fontId="15" fillId="0" borderId="12" xfId="6" applyFont="1" applyFill="1" applyBorder="1" applyAlignment="1" applyProtection="1">
      <alignment vertical="center"/>
      <protection locked="0"/>
    </xf>
    <xf numFmtId="43" fontId="0" fillId="0" borderId="13" xfId="6" applyFont="1" applyFill="1" applyBorder="1" applyAlignment="1" applyProtection="1">
      <alignment vertical="center"/>
      <protection locked="0"/>
    </xf>
    <xf numFmtId="43" fontId="15" fillId="4" borderId="13" xfId="6" applyFont="1" applyFill="1" applyBorder="1" applyAlignment="1" applyProtection="1">
      <alignment vertical="center"/>
      <protection locked="0"/>
    </xf>
    <xf numFmtId="43" fontId="0" fillId="4" borderId="13" xfId="6" applyFont="1" applyFill="1" applyBorder="1" applyAlignment="1" applyProtection="1">
      <alignment vertical="center"/>
      <protection locked="0"/>
    </xf>
    <xf numFmtId="43" fontId="15" fillId="0" borderId="8" xfId="6" applyFont="1" applyFill="1" applyBorder="1" applyAlignment="1" applyProtection="1">
      <alignment horizontal="right" vertical="center"/>
      <protection locked="0"/>
    </xf>
    <xf numFmtId="43" fontId="0" fillId="0" borderId="8" xfId="6" applyFont="1" applyFill="1" applyBorder="1" applyAlignment="1" applyProtection="1">
      <alignment horizontal="right"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  <xf numFmtId="43" fontId="1" fillId="0" borderId="13" xfId="0" applyNumberFormat="1" applyFont="1" applyFill="1" applyBorder="1" applyAlignment="1" applyProtection="1">
      <alignment vertical="center"/>
      <protection locked="0"/>
    </xf>
    <xf numFmtId="43" fontId="15" fillId="0" borderId="8" xfId="6" applyFont="1" applyFill="1" applyBorder="1" applyAlignment="1" applyProtection="1">
      <alignment vertical="center"/>
      <protection locked="0"/>
    </xf>
    <xf numFmtId="43" fontId="0" fillId="0" borderId="8" xfId="6" applyFont="1" applyFill="1" applyBorder="1" applyAlignment="1" applyProtection="1">
      <alignment vertical="center"/>
      <protection locked="0"/>
    </xf>
    <xf numFmtId="43" fontId="0" fillId="0" borderId="8" xfId="0" applyNumberFormat="1" applyFill="1" applyBorder="1" applyAlignment="1" applyProtection="1">
      <alignment vertical="center"/>
      <protection locked="0"/>
    </xf>
  </cellXfs>
  <cellStyles count="7">
    <cellStyle name="Millares" xfId="6" builtinId="3"/>
    <cellStyle name="Millares 2" xfId="1"/>
    <cellStyle name="Millares 2 2" xfId="5"/>
    <cellStyle name="Millares 3" xfId="4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5">
      <c r="A1" s="185" t="s">
        <v>829</v>
      </c>
      <c r="B1" s="186"/>
      <c r="C1" s="186"/>
      <c r="D1" s="186"/>
      <c r="E1" s="187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188" t="s">
        <v>3302</v>
      </c>
      <c r="D3" s="188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ht="14.25" x14ac:dyDescent="0.45">
      <c r="A10" s="25"/>
      <c r="E10" s="26"/>
    </row>
    <row r="11" spans="1:5" s="7" customFormat="1" ht="26.25" customHeight="1" x14ac:dyDescent="0.45">
      <c r="A11" s="25"/>
      <c r="B11" s="30" t="s">
        <v>793</v>
      </c>
      <c r="E11" s="26"/>
    </row>
    <row r="12" spans="1:5" s="7" customFormat="1" ht="14.65" thickBot="1" x14ac:dyDescent="0.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61" workbookViewId="0">
      <selection activeCell="B68" sqref="B68:D68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0" customFormat="1" ht="37.5" customHeight="1" x14ac:dyDescent="0.45">
      <c r="A1" s="201" t="s">
        <v>542</v>
      </c>
      <c r="B1" s="201"/>
      <c r="C1" s="201"/>
      <c r="D1" s="201"/>
      <c r="E1" s="110"/>
      <c r="F1" s="110"/>
      <c r="G1" s="110"/>
      <c r="H1" s="110"/>
      <c r="I1" s="110"/>
      <c r="J1" s="110"/>
      <c r="K1" s="110"/>
    </row>
    <row r="2" spans="1:11" ht="14.25" x14ac:dyDescent="0.45">
      <c r="A2" s="189" t="str">
        <f>ENTE_PUBLICO_A</f>
        <v>Municipio de Tierra Blanca Guanajuato, Gobierno del Estado de Guanajuato (a)</v>
      </c>
      <c r="B2" s="190"/>
      <c r="C2" s="190"/>
      <c r="D2" s="191"/>
    </row>
    <row r="3" spans="1:11" ht="14.25" x14ac:dyDescent="0.45">
      <c r="A3" s="192" t="s">
        <v>166</v>
      </c>
      <c r="B3" s="193"/>
      <c r="C3" s="193"/>
      <c r="D3" s="194"/>
    </row>
    <row r="4" spans="1:11" ht="14.25" x14ac:dyDescent="0.45">
      <c r="A4" s="195" t="str">
        <f>TRIMESTRE</f>
        <v>Del 1 de enero al 30 de septiembre de 2022 (b)</v>
      </c>
      <c r="B4" s="196"/>
      <c r="C4" s="196"/>
      <c r="D4" s="197"/>
    </row>
    <row r="5" spans="1:11" ht="14.25" x14ac:dyDescent="0.45">
      <c r="A5" s="198" t="s">
        <v>118</v>
      </c>
      <c r="B5" s="199"/>
      <c r="C5" s="199"/>
      <c r="D5" s="200"/>
    </row>
    <row r="6" spans="1:11" ht="14.25" x14ac:dyDescent="0.45"/>
    <row r="7" spans="1:11" ht="39" customHeight="1" x14ac:dyDescent="0.45">
      <c r="A7" s="115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94839000</v>
      </c>
      <c r="C8" s="40">
        <f t="shared" ref="C8:D8" si="0">SUM(C9:C11)</f>
        <v>89723701.329999998</v>
      </c>
      <c r="D8" s="40">
        <f t="shared" si="0"/>
        <v>89723701.329999998</v>
      </c>
    </row>
    <row r="9" spans="1:11" x14ac:dyDescent="0.25">
      <c r="A9" s="53" t="s">
        <v>169</v>
      </c>
      <c r="B9" s="176">
        <v>55939000</v>
      </c>
      <c r="C9" s="176">
        <v>56178902.75</v>
      </c>
      <c r="D9" s="176">
        <v>56178902.75</v>
      </c>
    </row>
    <row r="10" spans="1:11" ht="14.25" customHeight="1" x14ac:dyDescent="0.25">
      <c r="A10" s="53" t="s">
        <v>170</v>
      </c>
      <c r="B10" s="176">
        <v>38900000</v>
      </c>
      <c r="C10" s="176">
        <v>33544798.579999998</v>
      </c>
      <c r="D10" s="176">
        <v>33544798.579999998</v>
      </c>
    </row>
    <row r="11" spans="1:11" ht="14.25" customHeight="1" x14ac:dyDescent="0.25">
      <c r="A11" s="53" t="s">
        <v>171</v>
      </c>
      <c r="B11" s="147">
        <v>0</v>
      </c>
      <c r="C11" s="148">
        <v>0</v>
      </c>
      <c r="D11" s="149">
        <v>0</v>
      </c>
    </row>
    <row r="12" spans="1:11" x14ac:dyDescent="0.25">
      <c r="A12" s="94"/>
      <c r="B12" s="12"/>
      <c r="C12" s="12"/>
      <c r="D12" s="12"/>
    </row>
    <row r="13" spans="1:11" x14ac:dyDescent="0.25">
      <c r="A13" s="55" t="s">
        <v>180</v>
      </c>
      <c r="B13" s="40">
        <f>B14+B15</f>
        <v>94839000</v>
      </c>
      <c r="C13" s="40">
        <f t="shared" ref="C13:D13" si="1">C14+C15</f>
        <v>58582318.109999999</v>
      </c>
      <c r="D13" s="40">
        <f t="shared" si="1"/>
        <v>58506778.109999999</v>
      </c>
    </row>
    <row r="14" spans="1:11" x14ac:dyDescent="0.25">
      <c r="A14" s="53" t="s">
        <v>172</v>
      </c>
      <c r="B14" s="176">
        <v>55939000</v>
      </c>
      <c r="C14" s="176">
        <v>40083432.100000001</v>
      </c>
      <c r="D14" s="176">
        <v>40083432.100000001</v>
      </c>
    </row>
    <row r="15" spans="1:11" x14ac:dyDescent="0.25">
      <c r="A15" s="53" t="s">
        <v>173</v>
      </c>
      <c r="B15" s="176">
        <v>38900000</v>
      </c>
      <c r="C15" s="176">
        <v>18498886.010000002</v>
      </c>
      <c r="D15" s="176">
        <v>18423346.010000002</v>
      </c>
    </row>
    <row r="16" spans="1:11" x14ac:dyDescent="0.25">
      <c r="A16" s="94"/>
      <c r="B16" s="12"/>
      <c r="C16" s="12"/>
      <c r="D16" s="12"/>
    </row>
    <row r="17" spans="1:4" x14ac:dyDescent="0.25">
      <c r="A17" s="55" t="s">
        <v>174</v>
      </c>
      <c r="B17" s="116">
        <f>B18+B19</f>
        <v>0</v>
      </c>
      <c r="C17" s="40">
        <f t="shared" ref="C17" si="2">C18+C19</f>
        <v>9091804.0800000001</v>
      </c>
      <c r="D17" s="40">
        <f>D18+D19</f>
        <v>9091804.0800000001</v>
      </c>
    </row>
    <row r="18" spans="1:4" x14ac:dyDescent="0.25">
      <c r="A18" s="53" t="s">
        <v>175</v>
      </c>
      <c r="B18" s="117">
        <v>0</v>
      </c>
      <c r="C18" s="176">
        <v>5395010.1699999999</v>
      </c>
      <c r="D18" s="176">
        <v>5395010.1699999999</v>
      </c>
    </row>
    <row r="19" spans="1:4" x14ac:dyDescent="0.25">
      <c r="A19" s="53" t="s">
        <v>176</v>
      </c>
      <c r="B19" s="117">
        <v>0</v>
      </c>
      <c r="C19" s="176">
        <v>3696793.91</v>
      </c>
      <c r="D19" s="177">
        <v>3696793.91</v>
      </c>
    </row>
    <row r="20" spans="1:4" x14ac:dyDescent="0.25">
      <c r="A20" s="94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 t="shared" ref="C21:D21" si="3">C8-C13+C17</f>
        <v>40233187.299999997</v>
      </c>
      <c r="D21" s="40">
        <f t="shared" si="3"/>
        <v>40308727.299999997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40">
        <f>B21-B11</f>
        <v>0</v>
      </c>
      <c r="C23" s="40">
        <f t="shared" ref="C23:D23" si="4">C21-C11</f>
        <v>40233187.299999997</v>
      </c>
      <c r="D23" s="40">
        <f t="shared" si="4"/>
        <v>40308727.299999997</v>
      </c>
    </row>
    <row r="24" spans="1:4" x14ac:dyDescent="0.25">
      <c r="A24" s="55"/>
      <c r="B24" s="17"/>
      <c r="C24" s="17"/>
      <c r="D24" s="17"/>
    </row>
    <row r="25" spans="1:4" x14ac:dyDescent="0.25">
      <c r="A25" s="118" t="s">
        <v>179</v>
      </c>
      <c r="B25" s="40">
        <f>B23-B17</f>
        <v>0</v>
      </c>
      <c r="C25" s="40">
        <f t="shared" ref="C25" si="5">C23-C17</f>
        <v>31141383.219999999</v>
      </c>
      <c r="D25" s="40">
        <f>D23-D17</f>
        <v>31216923.219999999</v>
      </c>
    </row>
    <row r="26" spans="1:4" x14ac:dyDescent="0.25">
      <c r="A26" s="119"/>
      <c r="B26" s="13"/>
      <c r="C26" s="13"/>
      <c r="D26" s="13"/>
    </row>
    <row r="27" spans="1:4" x14ac:dyDescent="0.25">
      <c r="A27" s="89"/>
    </row>
    <row r="28" spans="1:4" ht="30" customHeight="1" x14ac:dyDescent="0.25">
      <c r="A28" s="115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25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>C25+C29</f>
        <v>31141383.219999999</v>
      </c>
      <c r="D33" s="61">
        <f t="shared" ref="D33" si="7">D25+D29</f>
        <v>31216923.219999999</v>
      </c>
    </row>
    <row r="34" spans="1:4" x14ac:dyDescent="0.25">
      <c r="A34" s="58"/>
      <c r="B34" s="58"/>
      <c r="C34" s="58"/>
      <c r="D34" s="58"/>
    </row>
    <row r="35" spans="1:4" x14ac:dyDescent="0.25">
      <c r="A35" s="89"/>
    </row>
    <row r="36" spans="1:4" ht="30" x14ac:dyDescent="0.25">
      <c r="A36" s="115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25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25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39"/>
      <c r="B45" s="58"/>
      <c r="C45" s="58"/>
      <c r="D45" s="58"/>
    </row>
    <row r="46" spans="1:4" x14ac:dyDescent="0.25"/>
    <row r="47" spans="1:4" ht="30" x14ac:dyDescent="0.25">
      <c r="A47" s="115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2" t="s">
        <v>198</v>
      </c>
      <c r="B48" s="179">
        <v>55939000</v>
      </c>
      <c r="C48" s="179">
        <v>56178902.75</v>
      </c>
      <c r="D48" s="179">
        <v>56178902.75</v>
      </c>
    </row>
    <row r="49" spans="1:4" x14ac:dyDescent="0.25">
      <c r="A49" s="123" t="s">
        <v>199</v>
      </c>
      <c r="B49" s="61">
        <f>B50-B51</f>
        <v>0</v>
      </c>
      <c r="C49" s="61">
        <f t="shared" ref="C49:D49" si="11">C50-C51</f>
        <v>0</v>
      </c>
      <c r="D49" s="61">
        <f t="shared" si="11"/>
        <v>0</v>
      </c>
    </row>
    <row r="50" spans="1:4" x14ac:dyDescent="0.25">
      <c r="A50" s="124" t="s">
        <v>192</v>
      </c>
      <c r="B50" s="60">
        <v>0</v>
      </c>
      <c r="C50" s="60">
        <v>0</v>
      </c>
      <c r="D50" s="60">
        <v>0</v>
      </c>
    </row>
    <row r="51" spans="1:4" x14ac:dyDescent="0.25">
      <c r="A51" s="124" t="s">
        <v>195</v>
      </c>
      <c r="B51" s="60">
        <v>0</v>
      </c>
      <c r="C51" s="60">
        <v>0</v>
      </c>
      <c r="D51" s="60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178">
        <v>55939000</v>
      </c>
      <c r="C53" s="178">
        <v>40083432.100000001</v>
      </c>
      <c r="D53" s="178">
        <v>40083432.100000001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1">
        <f>B18</f>
        <v>0</v>
      </c>
      <c r="C55" s="60">
        <f t="shared" ref="C55:D55" si="12">C18</f>
        <v>5395010.1699999999</v>
      </c>
      <c r="D55" s="60">
        <f t="shared" si="12"/>
        <v>5395010.1699999999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18" t="s">
        <v>201</v>
      </c>
      <c r="B57" s="61">
        <f>B48+B49-B53+B55</f>
        <v>0</v>
      </c>
      <c r="C57" s="61">
        <f>C48+C49-C53+C55</f>
        <v>21490480.82</v>
      </c>
      <c r="D57" s="61">
        <f t="shared" ref="D57" si="13">D48+D49-D53+D55</f>
        <v>21490480.82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18" t="s">
        <v>200</v>
      </c>
      <c r="B59" s="61">
        <f>B57-B49</f>
        <v>0</v>
      </c>
      <c r="C59" s="61">
        <f t="shared" ref="C59:D59" si="14">C57-C49</f>
        <v>21490480.82</v>
      </c>
      <c r="D59" s="61">
        <f t="shared" si="14"/>
        <v>21490480.82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5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2" t="s">
        <v>170</v>
      </c>
      <c r="B63" s="158">
        <v>38900000</v>
      </c>
      <c r="C63" s="158">
        <v>33544798.579999998</v>
      </c>
      <c r="D63" s="158">
        <v>33544798.579999998</v>
      </c>
    </row>
    <row r="64" spans="1:4" ht="30" x14ac:dyDescent="0.25">
      <c r="A64" s="123" t="s">
        <v>202</v>
      </c>
      <c r="B64" s="40">
        <f>B65-B66</f>
        <v>0</v>
      </c>
      <c r="C64" s="40">
        <f t="shared" ref="C64:D64" si="15">C65-C66</f>
        <v>0</v>
      </c>
      <c r="D64" s="40">
        <f t="shared" si="15"/>
        <v>0</v>
      </c>
    </row>
    <row r="65" spans="1:4" x14ac:dyDescent="0.25">
      <c r="A65" s="124" t="s">
        <v>193</v>
      </c>
      <c r="B65" s="60">
        <v>0</v>
      </c>
      <c r="C65" s="60">
        <v>0</v>
      </c>
      <c r="D65" s="60">
        <v>0</v>
      </c>
    </row>
    <row r="66" spans="1:4" x14ac:dyDescent="0.25">
      <c r="A66" s="124" t="s">
        <v>196</v>
      </c>
      <c r="B66" s="60">
        <v>0</v>
      </c>
      <c r="C66" s="60">
        <v>0</v>
      </c>
      <c r="D66" s="60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176">
        <v>38900000</v>
      </c>
      <c r="C68" s="176">
        <v>18498886.010000002</v>
      </c>
      <c r="D68" s="176">
        <v>18423346.010000002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0">
        <f>B19</f>
        <v>0</v>
      </c>
      <c r="C70" s="23">
        <f t="shared" ref="C70:D70" si="16">C19</f>
        <v>3696793.91</v>
      </c>
      <c r="D70" s="23">
        <f t="shared" si="16"/>
        <v>3696793.91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18" t="s">
        <v>205</v>
      </c>
      <c r="B72" s="40">
        <f>B63+B64-B68+B70</f>
        <v>0</v>
      </c>
      <c r="C72" s="40">
        <f t="shared" ref="C72:D72" si="17">C63+C64-C68+C70</f>
        <v>18742706.479999997</v>
      </c>
      <c r="D72" s="40">
        <f t="shared" si="17"/>
        <v>18818246.479999997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18" t="s">
        <v>204</v>
      </c>
      <c r="B74" s="40">
        <f>B72-B64</f>
        <v>0</v>
      </c>
      <c r="C74" s="40">
        <f>C72-C64</f>
        <v>18742706.479999997</v>
      </c>
      <c r="D74" s="40">
        <f t="shared" ref="D74" si="18">D72-D64</f>
        <v>18818246.479999997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94839000</v>
      </c>
      <c r="Q2" s="18">
        <f>'Formato 4'!C8</f>
        <v>89723701.329999998</v>
      </c>
      <c r="R2" s="18">
        <f>'Formato 4'!D8</f>
        <v>89723701.329999998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55939000</v>
      </c>
      <c r="Q3" s="18">
        <f>'Formato 4'!C9</f>
        <v>56178902.75</v>
      </c>
      <c r="R3" s="18">
        <f>'Formato 4'!D9</f>
        <v>56178902.75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38900000</v>
      </c>
      <c r="Q4" s="18">
        <f>'Formato 4'!C10</f>
        <v>33544798.579999998</v>
      </c>
      <c r="R4" s="18">
        <f>'Formato 4'!D10</f>
        <v>33544798.579999998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94839000</v>
      </c>
      <c r="Q6" s="18">
        <f>'Formato 4'!C13</f>
        <v>58582318.109999999</v>
      </c>
      <c r="R6" s="18">
        <f>'Formato 4'!D13</f>
        <v>58506778.109999999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55939000</v>
      </c>
      <c r="Q7" s="18">
        <f>'Formato 4'!C14</f>
        <v>40083432.100000001</v>
      </c>
      <c r="R7" s="18">
        <f>'Formato 4'!D14</f>
        <v>40083432.100000001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38900000</v>
      </c>
      <c r="Q8" s="18">
        <f>'Formato 4'!C15</f>
        <v>18498886.010000002</v>
      </c>
      <c r="R8" s="18">
        <f>'Formato 4'!D15</f>
        <v>18423346.010000002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9091804.0800000001</v>
      </c>
      <c r="R9" s="18">
        <f>'Formato 4'!D17</f>
        <v>9091804.0800000001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5395010.1699999999</v>
      </c>
      <c r="R10" s="18">
        <f>'Formato 4'!D18</f>
        <v>5395010.1699999999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3696793.91</v>
      </c>
      <c r="R11" s="18">
        <f>'Formato 4'!D19</f>
        <v>3696793.91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40233187.299999997</v>
      </c>
      <c r="R12" s="18">
        <f>'Formato 4'!D21</f>
        <v>40308727.299999997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40233187.299999997</v>
      </c>
      <c r="R13" s="18">
        <f>'Formato 4'!D23</f>
        <v>40308727.299999997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31141383.219999999</v>
      </c>
      <c r="R14" s="18">
        <f>'Formato 4'!D25</f>
        <v>31216923.219999999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31141383.219999999</v>
      </c>
      <c r="R18">
        <f>'Formato 4'!D33</f>
        <v>31216923.219999999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55939000</v>
      </c>
      <c r="Q26">
        <f>'Formato 4'!C48</f>
        <v>56178902.75</v>
      </c>
      <c r="R26">
        <f>'Formato 4'!D48</f>
        <v>56178902.75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55939000</v>
      </c>
      <c r="Q30">
        <f>'Formato 4'!C53</f>
        <v>40083432.100000001</v>
      </c>
      <c r="R30">
        <f>'Formato 4'!D53</f>
        <v>40083432.100000001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5395010.1699999999</v>
      </c>
      <c r="R31">
        <f>'Formato 4'!D55</f>
        <v>5395010.1699999999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38900000</v>
      </c>
      <c r="Q32">
        <f>'Formato 4'!C63</f>
        <v>33544798.579999998</v>
      </c>
      <c r="R32">
        <f>'Formato 4'!D63</f>
        <v>33544798.579999998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38900000</v>
      </c>
      <c r="Q36">
        <f>'Formato 4'!C68</f>
        <v>18498886.010000002</v>
      </c>
      <c r="R36">
        <f>'Formato 4'!D68</f>
        <v>18423346.010000002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3696793.91</v>
      </c>
      <c r="R37">
        <f>'Formato 4'!D70</f>
        <v>3696793.91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18742706.479999997</v>
      </c>
      <c r="R38">
        <f>'Formato 4'!D72</f>
        <v>18818246.479999997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18742706.479999997</v>
      </c>
      <c r="R39">
        <f>'Formato 4'!D74</f>
        <v>18818246.479999997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opLeftCell="A70" zoomScale="85" zoomScaleNormal="85" workbookViewId="0">
      <selection activeCell="D75" sqref="D75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0" customFormat="1" ht="37.5" customHeight="1" x14ac:dyDescent="0.25">
      <c r="A1" s="207" t="s">
        <v>206</v>
      </c>
      <c r="B1" s="207"/>
      <c r="C1" s="207"/>
      <c r="D1" s="207"/>
      <c r="E1" s="207"/>
      <c r="F1" s="207"/>
      <c r="G1" s="207"/>
    </row>
    <row r="2" spans="1:8" ht="14.25" x14ac:dyDescent="0.45">
      <c r="A2" s="189" t="str">
        <f>ENTE_PUBLICO_A</f>
        <v>Municipio de Tierra Blanca Guanajuato, Gobierno del Estado de Guanajuato (a)</v>
      </c>
      <c r="B2" s="190"/>
      <c r="C2" s="190"/>
      <c r="D2" s="190"/>
      <c r="E2" s="190"/>
      <c r="F2" s="190"/>
      <c r="G2" s="191"/>
    </row>
    <row r="3" spans="1:8" x14ac:dyDescent="0.25">
      <c r="A3" s="192" t="s">
        <v>207</v>
      </c>
      <c r="B3" s="193"/>
      <c r="C3" s="193"/>
      <c r="D3" s="193"/>
      <c r="E3" s="193"/>
      <c r="F3" s="193"/>
      <c r="G3" s="194"/>
    </row>
    <row r="4" spans="1:8" ht="14.25" x14ac:dyDescent="0.45">
      <c r="A4" s="195" t="str">
        <f>TRIMESTRE</f>
        <v>Del 1 de enero al 30 de septiembre de 2022 (b)</v>
      </c>
      <c r="B4" s="196"/>
      <c r="C4" s="196"/>
      <c r="D4" s="196"/>
      <c r="E4" s="196"/>
      <c r="F4" s="196"/>
      <c r="G4" s="197"/>
    </row>
    <row r="5" spans="1:8" ht="14.25" x14ac:dyDescent="0.45">
      <c r="A5" s="198" t="s">
        <v>118</v>
      </c>
      <c r="B5" s="199"/>
      <c r="C5" s="199"/>
      <c r="D5" s="199"/>
      <c r="E5" s="199"/>
      <c r="F5" s="199"/>
      <c r="G5" s="200"/>
    </row>
    <row r="6" spans="1:8" x14ac:dyDescent="0.25">
      <c r="A6" s="204" t="s">
        <v>214</v>
      </c>
      <c r="B6" s="206" t="s">
        <v>208</v>
      </c>
      <c r="C6" s="206"/>
      <c r="D6" s="206"/>
      <c r="E6" s="206"/>
      <c r="F6" s="206"/>
      <c r="G6" s="206" t="s">
        <v>209</v>
      </c>
    </row>
    <row r="7" spans="1:8" ht="30" x14ac:dyDescent="0.25">
      <c r="A7" s="205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206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ht="14.25" customHeight="1" x14ac:dyDescent="0.25">
      <c r="A9" s="53" t="s">
        <v>216</v>
      </c>
      <c r="B9" s="178">
        <v>1141700</v>
      </c>
      <c r="C9" s="178">
        <v>-6500</v>
      </c>
      <c r="D9" s="180">
        <f>B9+C9</f>
        <v>1135200</v>
      </c>
      <c r="E9" s="178">
        <v>1203097.83</v>
      </c>
      <c r="F9" s="178">
        <v>1203097.83</v>
      </c>
      <c r="G9" s="180">
        <f>F9-B9</f>
        <v>61397.830000000075</v>
      </c>
      <c r="H9" s="8"/>
    </row>
    <row r="10" spans="1:8" ht="14.25" customHeight="1" x14ac:dyDescent="0.25">
      <c r="A10" s="53" t="s">
        <v>217</v>
      </c>
      <c r="B10" s="178">
        <v>0</v>
      </c>
      <c r="C10" s="178">
        <v>0</v>
      </c>
      <c r="D10" s="180">
        <f t="shared" ref="D10:D15" si="0">B10+C10</f>
        <v>0</v>
      </c>
      <c r="E10" s="178">
        <v>0</v>
      </c>
      <c r="F10" s="178">
        <v>0</v>
      </c>
      <c r="G10" s="180">
        <f t="shared" ref="G10:G15" si="1">F10-B10</f>
        <v>0</v>
      </c>
    </row>
    <row r="11" spans="1:8" ht="14.25" customHeight="1" x14ac:dyDescent="0.25">
      <c r="A11" s="53" t="s">
        <v>218</v>
      </c>
      <c r="B11" s="178">
        <v>200</v>
      </c>
      <c r="C11" s="178">
        <v>-200</v>
      </c>
      <c r="D11" s="180">
        <f t="shared" si="0"/>
        <v>0</v>
      </c>
      <c r="E11" s="178">
        <v>0</v>
      </c>
      <c r="F11" s="178">
        <v>0</v>
      </c>
      <c r="G11" s="180">
        <f t="shared" si="1"/>
        <v>-200</v>
      </c>
    </row>
    <row r="12" spans="1:8" ht="14.25" customHeight="1" x14ac:dyDescent="0.25">
      <c r="A12" s="53" t="s">
        <v>219</v>
      </c>
      <c r="B12" s="178">
        <v>2207100</v>
      </c>
      <c r="C12" s="178">
        <v>-1058200</v>
      </c>
      <c r="D12" s="180">
        <f t="shared" si="0"/>
        <v>1148900</v>
      </c>
      <c r="E12" s="178">
        <v>1447697.46</v>
      </c>
      <c r="F12" s="178">
        <v>1447697.46</v>
      </c>
      <c r="G12" s="180">
        <f t="shared" si="1"/>
        <v>-759402.54</v>
      </c>
    </row>
    <row r="13" spans="1:8" ht="14.25" customHeight="1" x14ac:dyDescent="0.25">
      <c r="A13" s="53" t="s">
        <v>220</v>
      </c>
      <c r="B13" s="178">
        <v>183600</v>
      </c>
      <c r="C13" s="178">
        <v>-159400</v>
      </c>
      <c r="D13" s="180">
        <f t="shared" si="0"/>
        <v>24200</v>
      </c>
      <c r="E13" s="178">
        <v>120504.52</v>
      </c>
      <c r="F13" s="178">
        <v>120504.52</v>
      </c>
      <c r="G13" s="180">
        <f t="shared" si="1"/>
        <v>-63095.479999999996</v>
      </c>
    </row>
    <row r="14" spans="1:8" ht="14.25" customHeight="1" x14ac:dyDescent="0.25">
      <c r="A14" s="53" t="s">
        <v>221</v>
      </c>
      <c r="B14" s="178">
        <v>245400</v>
      </c>
      <c r="C14" s="178">
        <v>-120400</v>
      </c>
      <c r="D14" s="180">
        <f t="shared" si="0"/>
        <v>125000</v>
      </c>
      <c r="E14" s="178">
        <v>265343.07</v>
      </c>
      <c r="F14" s="178">
        <v>265343.07</v>
      </c>
      <c r="G14" s="180">
        <f t="shared" si="1"/>
        <v>19943.070000000007</v>
      </c>
    </row>
    <row r="15" spans="1:8" ht="14.25" customHeight="1" x14ac:dyDescent="0.25">
      <c r="A15" s="53" t="s">
        <v>222</v>
      </c>
      <c r="B15" s="178">
        <v>0</v>
      </c>
      <c r="C15" s="178">
        <v>0</v>
      </c>
      <c r="D15" s="180">
        <f t="shared" si="0"/>
        <v>0</v>
      </c>
      <c r="E15" s="178">
        <v>0</v>
      </c>
      <c r="F15" s="178">
        <v>0</v>
      </c>
      <c r="G15" s="180">
        <f t="shared" si="1"/>
        <v>0</v>
      </c>
    </row>
    <row r="16" spans="1:8" x14ac:dyDescent="0.25">
      <c r="A16" s="10" t="s">
        <v>275</v>
      </c>
      <c r="B16" s="60">
        <f>SUM(B17:B27)</f>
        <v>51550000</v>
      </c>
      <c r="C16" s="60">
        <f t="shared" ref="C16:F16" si="2">SUM(C17:C27)</f>
        <v>3284743.92</v>
      </c>
      <c r="D16" s="60">
        <f t="shared" si="2"/>
        <v>54834743.920000002</v>
      </c>
      <c r="E16" s="156">
        <f t="shared" si="2"/>
        <v>49082197.349999994</v>
      </c>
      <c r="F16" s="156">
        <f t="shared" si="2"/>
        <v>49082197.349999994</v>
      </c>
      <c r="G16" s="60">
        <f>SUM(G17:G27)</f>
        <v>-2467802.6500000041</v>
      </c>
    </row>
    <row r="17" spans="1:7" x14ac:dyDescent="0.25">
      <c r="A17" s="63" t="s">
        <v>223</v>
      </c>
      <c r="B17" s="178">
        <v>21500000</v>
      </c>
      <c r="C17" s="178">
        <v>2132591.92</v>
      </c>
      <c r="D17" s="180">
        <f t="shared" ref="D17:D27" si="3">B17+C17</f>
        <v>23632591.920000002</v>
      </c>
      <c r="E17" s="178">
        <v>21266969.829999998</v>
      </c>
      <c r="F17" s="178">
        <v>21266969.829999998</v>
      </c>
      <c r="G17" s="180">
        <f t="shared" ref="G17:G27" si="4">F17-B17</f>
        <v>-233030.17000000179</v>
      </c>
    </row>
    <row r="18" spans="1:7" ht="14.25" customHeight="1" x14ac:dyDescent="0.25">
      <c r="A18" s="63" t="s">
        <v>224</v>
      </c>
      <c r="B18" s="178">
        <v>25960000</v>
      </c>
      <c r="C18" s="178">
        <v>1202449</v>
      </c>
      <c r="D18" s="180">
        <f t="shared" si="3"/>
        <v>27162449</v>
      </c>
      <c r="E18" s="178">
        <v>23875778.079999998</v>
      </c>
      <c r="F18" s="178">
        <v>23875778.079999998</v>
      </c>
      <c r="G18" s="180">
        <f t="shared" si="4"/>
        <v>-2084221.9200000018</v>
      </c>
    </row>
    <row r="19" spans="1:7" x14ac:dyDescent="0.25">
      <c r="A19" s="63" t="s">
        <v>225</v>
      </c>
      <c r="B19" s="178">
        <v>380000</v>
      </c>
      <c r="C19" s="178">
        <v>0</v>
      </c>
      <c r="D19" s="180">
        <f t="shared" si="3"/>
        <v>380000</v>
      </c>
      <c r="E19" s="178">
        <v>541787.52</v>
      </c>
      <c r="F19" s="178">
        <v>541787.52</v>
      </c>
      <c r="G19" s="180">
        <f t="shared" si="4"/>
        <v>161787.52000000002</v>
      </c>
    </row>
    <row r="20" spans="1:7" x14ac:dyDescent="0.25">
      <c r="A20" s="63" t="s">
        <v>226</v>
      </c>
      <c r="B20" s="180"/>
      <c r="C20" s="180"/>
      <c r="D20" s="180">
        <f t="shared" si="3"/>
        <v>0</v>
      </c>
      <c r="E20" s="180"/>
      <c r="F20" s="180"/>
      <c r="G20" s="180">
        <f t="shared" si="4"/>
        <v>0</v>
      </c>
    </row>
    <row r="21" spans="1:7" x14ac:dyDescent="0.25">
      <c r="A21" s="63" t="s">
        <v>227</v>
      </c>
      <c r="B21" s="180"/>
      <c r="C21" s="180"/>
      <c r="D21" s="180">
        <f t="shared" si="3"/>
        <v>0</v>
      </c>
      <c r="E21" s="180"/>
      <c r="F21" s="180"/>
      <c r="G21" s="180">
        <f t="shared" si="4"/>
        <v>0</v>
      </c>
    </row>
    <row r="22" spans="1:7" x14ac:dyDescent="0.25">
      <c r="A22" s="63" t="s">
        <v>228</v>
      </c>
      <c r="B22" s="178">
        <v>1500000</v>
      </c>
      <c r="C22" s="178">
        <v>85148</v>
      </c>
      <c r="D22" s="180">
        <f t="shared" si="3"/>
        <v>1585148</v>
      </c>
      <c r="E22" s="178">
        <v>1493359.16</v>
      </c>
      <c r="F22" s="178">
        <v>1493359.16</v>
      </c>
      <c r="G22" s="180">
        <f t="shared" si="4"/>
        <v>-6640.8400000000838</v>
      </c>
    </row>
    <row r="23" spans="1:7" x14ac:dyDescent="0.25">
      <c r="A23" s="63" t="s">
        <v>229</v>
      </c>
      <c r="B23" s="180"/>
      <c r="C23" s="180"/>
      <c r="D23" s="180">
        <f t="shared" si="3"/>
        <v>0</v>
      </c>
      <c r="E23" s="180"/>
      <c r="F23" s="180"/>
      <c r="G23" s="180">
        <f t="shared" si="4"/>
        <v>0</v>
      </c>
    </row>
    <row r="24" spans="1:7" x14ac:dyDescent="0.25">
      <c r="A24" s="63" t="s">
        <v>230</v>
      </c>
      <c r="B24" s="180"/>
      <c r="C24" s="180"/>
      <c r="D24" s="180">
        <f t="shared" si="3"/>
        <v>0</v>
      </c>
      <c r="E24" s="180"/>
      <c r="F24" s="180"/>
      <c r="G24" s="180">
        <f t="shared" si="4"/>
        <v>0</v>
      </c>
    </row>
    <row r="25" spans="1:7" x14ac:dyDescent="0.25">
      <c r="A25" s="63" t="s">
        <v>231</v>
      </c>
      <c r="B25" s="178">
        <v>460000</v>
      </c>
      <c r="C25" s="178">
        <v>-135445</v>
      </c>
      <c r="D25" s="180">
        <f t="shared" si="3"/>
        <v>324555</v>
      </c>
      <c r="E25" s="178">
        <v>247239.76</v>
      </c>
      <c r="F25" s="178">
        <v>247239.76</v>
      </c>
      <c r="G25" s="180">
        <f t="shared" si="4"/>
        <v>-212760.24</v>
      </c>
    </row>
    <row r="26" spans="1:7" ht="14.25" customHeight="1" x14ac:dyDescent="0.25">
      <c r="A26" s="63" t="s">
        <v>232</v>
      </c>
      <c r="B26" s="178">
        <v>1750000</v>
      </c>
      <c r="C26" s="178">
        <v>0</v>
      </c>
      <c r="D26" s="180">
        <f t="shared" si="3"/>
        <v>1750000</v>
      </c>
      <c r="E26" s="178">
        <v>1657063</v>
      </c>
      <c r="F26" s="178">
        <v>1657063</v>
      </c>
      <c r="G26" s="180">
        <f t="shared" si="4"/>
        <v>-92937</v>
      </c>
    </row>
    <row r="27" spans="1:7" x14ac:dyDescent="0.25">
      <c r="A27" s="63" t="s">
        <v>233</v>
      </c>
      <c r="B27" s="178">
        <v>0</v>
      </c>
      <c r="C27" s="178">
        <v>0</v>
      </c>
      <c r="D27" s="180">
        <f t="shared" si="3"/>
        <v>0</v>
      </c>
      <c r="E27" s="178">
        <v>0</v>
      </c>
      <c r="F27" s="178">
        <v>0</v>
      </c>
      <c r="G27" s="180">
        <f t="shared" si="4"/>
        <v>0</v>
      </c>
    </row>
    <row r="28" spans="1:7" x14ac:dyDescent="0.25">
      <c r="A28" s="53" t="s">
        <v>234</v>
      </c>
      <c r="B28" s="60">
        <f>SUM(B29:B33)</f>
        <v>611000</v>
      </c>
      <c r="C28" s="60">
        <f t="shared" ref="C28:G28" si="5">SUM(C29:C33)</f>
        <v>136639</v>
      </c>
      <c r="D28" s="60">
        <f t="shared" si="5"/>
        <v>747639</v>
      </c>
      <c r="E28" s="60">
        <f t="shared" si="5"/>
        <v>751246.57000000007</v>
      </c>
      <c r="F28" s="60">
        <f t="shared" si="5"/>
        <v>751246.57000000007</v>
      </c>
      <c r="G28" s="60">
        <f t="shared" si="5"/>
        <v>140246.57</v>
      </c>
    </row>
    <row r="29" spans="1:7" x14ac:dyDescent="0.25">
      <c r="A29" s="63" t="s">
        <v>235</v>
      </c>
      <c r="B29" s="178">
        <v>5000</v>
      </c>
      <c r="C29" s="178">
        <v>-5000</v>
      </c>
      <c r="D29" s="150">
        <f t="shared" ref="D29:D33" si="6">B29+C29</f>
        <v>0</v>
      </c>
      <c r="E29" s="178">
        <v>3780.36</v>
      </c>
      <c r="F29" s="178">
        <v>3780.36</v>
      </c>
      <c r="G29" s="60">
        <f t="shared" ref="G29:G33" si="7">F29-B29</f>
        <v>-1219.6399999999999</v>
      </c>
    </row>
    <row r="30" spans="1:7" x14ac:dyDescent="0.25">
      <c r="A30" s="63" t="s">
        <v>236</v>
      </c>
      <c r="B30" s="178">
        <v>50000</v>
      </c>
      <c r="C30" s="178">
        <v>20599</v>
      </c>
      <c r="D30" s="150">
        <f t="shared" si="6"/>
        <v>70599</v>
      </c>
      <c r="E30" s="178">
        <v>52723.53</v>
      </c>
      <c r="F30" s="178">
        <v>52723.53</v>
      </c>
      <c r="G30" s="60">
        <f t="shared" si="7"/>
        <v>2723.5299999999988</v>
      </c>
    </row>
    <row r="31" spans="1:7" x14ac:dyDescent="0.25">
      <c r="A31" s="63" t="s">
        <v>237</v>
      </c>
      <c r="B31" s="178">
        <v>230000</v>
      </c>
      <c r="C31" s="178">
        <v>90327</v>
      </c>
      <c r="D31" s="150">
        <f t="shared" si="6"/>
        <v>320327</v>
      </c>
      <c r="E31" s="178">
        <v>300752.94</v>
      </c>
      <c r="F31" s="178">
        <v>300752.94</v>
      </c>
      <c r="G31" s="60">
        <f t="shared" si="7"/>
        <v>70752.94</v>
      </c>
    </row>
    <row r="32" spans="1:7" x14ac:dyDescent="0.25">
      <c r="A32" s="63" t="s">
        <v>238</v>
      </c>
      <c r="B32" s="178">
        <v>1000</v>
      </c>
      <c r="C32" s="178">
        <v>-1000</v>
      </c>
      <c r="D32" s="150">
        <f t="shared" si="6"/>
        <v>0</v>
      </c>
      <c r="E32" s="178">
        <v>0</v>
      </c>
      <c r="F32" s="178">
        <v>0</v>
      </c>
      <c r="G32" s="60">
        <f t="shared" si="7"/>
        <v>-1000</v>
      </c>
    </row>
    <row r="33" spans="1:8" x14ac:dyDescent="0.25">
      <c r="A33" s="63" t="s">
        <v>239</v>
      </c>
      <c r="B33" s="178">
        <v>325000</v>
      </c>
      <c r="C33" s="178">
        <v>31713</v>
      </c>
      <c r="D33" s="150">
        <f t="shared" si="6"/>
        <v>356713</v>
      </c>
      <c r="E33" s="178">
        <v>393989.74</v>
      </c>
      <c r="F33" s="178">
        <v>393989.74</v>
      </c>
      <c r="G33" s="60">
        <f t="shared" si="7"/>
        <v>68989.739999999991</v>
      </c>
    </row>
    <row r="34" spans="1:8" x14ac:dyDescent="0.25">
      <c r="A34" s="53" t="s">
        <v>240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8" x14ac:dyDescent="0.25">
      <c r="A35" s="53" t="s">
        <v>241</v>
      </c>
      <c r="B35" s="180">
        <f>B36</f>
        <v>0</v>
      </c>
      <c r="C35" s="180">
        <f>C36</f>
        <v>18336455.309999999</v>
      </c>
      <c r="D35" s="180">
        <f>D36</f>
        <v>18336455.309999999</v>
      </c>
      <c r="E35" s="180">
        <f>E36</f>
        <v>2665599.79</v>
      </c>
      <c r="F35" s="180">
        <f>F36</f>
        <v>2665599.79</v>
      </c>
      <c r="G35" s="180">
        <f t="shared" ref="G35:G39" si="8">F35-B35</f>
        <v>2665599.79</v>
      </c>
    </row>
    <row r="36" spans="1:8" x14ac:dyDescent="0.25">
      <c r="A36" s="63" t="s">
        <v>242</v>
      </c>
      <c r="B36" s="178">
        <v>0</v>
      </c>
      <c r="C36" s="178">
        <v>18336455.309999999</v>
      </c>
      <c r="D36" s="180">
        <f>B36+C36</f>
        <v>18336455.309999999</v>
      </c>
      <c r="E36" s="178">
        <v>2665599.79</v>
      </c>
      <c r="F36" s="178">
        <v>2665599.79</v>
      </c>
      <c r="G36" s="180"/>
    </row>
    <row r="37" spans="1:8" x14ac:dyDescent="0.25">
      <c r="A37" s="53" t="s">
        <v>243</v>
      </c>
      <c r="B37" s="180">
        <f>B38+B39</f>
        <v>0</v>
      </c>
      <c r="C37" s="180">
        <f t="shared" ref="C37:F37" si="9">C38+C39</f>
        <v>0</v>
      </c>
      <c r="D37" s="180">
        <f t="shared" si="9"/>
        <v>0</v>
      </c>
      <c r="E37" s="180">
        <f t="shared" si="9"/>
        <v>0</v>
      </c>
      <c r="F37" s="180">
        <f t="shared" si="9"/>
        <v>0</v>
      </c>
      <c r="G37" s="180">
        <f t="shared" si="8"/>
        <v>0</v>
      </c>
    </row>
    <row r="38" spans="1:8" x14ac:dyDescent="0.25">
      <c r="A38" s="63" t="s">
        <v>244</v>
      </c>
      <c r="B38" s="180"/>
      <c r="C38" s="180"/>
      <c r="D38" s="180">
        <f>B38+C38</f>
        <v>0</v>
      </c>
      <c r="E38" s="180"/>
      <c r="F38" s="180"/>
      <c r="G38" s="180">
        <f t="shared" si="8"/>
        <v>0</v>
      </c>
    </row>
    <row r="39" spans="1:8" x14ac:dyDescent="0.25">
      <c r="A39" s="63" t="s">
        <v>245</v>
      </c>
      <c r="B39" s="180"/>
      <c r="C39" s="180"/>
      <c r="D39" s="180">
        <f>B39+C39</f>
        <v>0</v>
      </c>
      <c r="E39" s="180"/>
      <c r="F39" s="180"/>
      <c r="G39" s="180">
        <f t="shared" si="8"/>
        <v>0</v>
      </c>
    </row>
    <row r="40" spans="1:8" x14ac:dyDescent="0.25">
      <c r="A40" s="54"/>
      <c r="B40" s="180"/>
      <c r="C40" s="180"/>
      <c r="D40" s="180"/>
      <c r="E40" s="180"/>
      <c r="F40" s="180"/>
      <c r="G40" s="180"/>
    </row>
    <row r="41" spans="1:8" x14ac:dyDescent="0.25">
      <c r="A41" s="55" t="s">
        <v>276</v>
      </c>
      <c r="B41" s="61">
        <f>SUM(B9,B10,B11,B12,B13,B14,B15,B16,B28,B34,B35,B37)</f>
        <v>55939000</v>
      </c>
      <c r="C41" s="61">
        <f t="shared" ref="C41:E41" si="10">SUM(C9,C10,C11,C12,C13,C14,C15,C16,C28,C34,C35,C37)</f>
        <v>20413138.229999997</v>
      </c>
      <c r="D41" s="61">
        <f t="shared" si="10"/>
        <v>76352138.230000004</v>
      </c>
      <c r="E41" s="61">
        <f t="shared" si="10"/>
        <v>55535686.589999996</v>
      </c>
      <c r="F41" s="61">
        <f>SUM(F9,F10,F11,F12,F13,F14,F15,F16,F28,F34,F35,F37)</f>
        <v>55535686.589999996</v>
      </c>
      <c r="G41" s="61">
        <f>SUM(G9,G10,G11,G12,G13,G14,G15,G16,G28,G34,G35,G37)</f>
        <v>-403313.41000000434</v>
      </c>
    </row>
    <row r="42" spans="1:8" x14ac:dyDescent="0.25">
      <c r="A42" s="55" t="s">
        <v>246</v>
      </c>
      <c r="B42" s="125"/>
      <c r="C42" s="125"/>
      <c r="D42" s="125"/>
      <c r="E42" s="125"/>
      <c r="F42" s="125"/>
      <c r="G42" s="61">
        <f>IF(G41&gt;0,G41,0)</f>
        <v>0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38900000</v>
      </c>
      <c r="C45" s="60">
        <f t="shared" ref="C45:G45" si="11">SUM(C46:C53)</f>
        <v>435692</v>
      </c>
      <c r="D45" s="60">
        <f t="shared" si="11"/>
        <v>39335692</v>
      </c>
      <c r="E45" s="60">
        <f t="shared" si="11"/>
        <v>33162480</v>
      </c>
      <c r="F45" s="60">
        <f t="shared" si="11"/>
        <v>33162480</v>
      </c>
      <c r="G45" s="60">
        <f t="shared" si="11"/>
        <v>-5737520</v>
      </c>
    </row>
    <row r="46" spans="1:8" x14ac:dyDescent="0.25">
      <c r="A46" s="68" t="s">
        <v>249</v>
      </c>
      <c r="B46" s="180">
        <v>0</v>
      </c>
      <c r="C46" s="180"/>
      <c r="D46" s="180">
        <f>B46+C46</f>
        <v>0</v>
      </c>
      <c r="E46" s="180"/>
      <c r="F46" s="180"/>
      <c r="G46" s="180">
        <f>F46-B46</f>
        <v>0</v>
      </c>
    </row>
    <row r="47" spans="1:8" x14ac:dyDescent="0.25">
      <c r="A47" s="68" t="s">
        <v>250</v>
      </c>
      <c r="B47" s="180">
        <v>0</v>
      </c>
      <c r="C47" s="180"/>
      <c r="D47" s="180">
        <f t="shared" ref="D47:D53" si="12">B47+C47</f>
        <v>0</v>
      </c>
      <c r="E47" s="180"/>
      <c r="F47" s="180"/>
      <c r="G47" s="180">
        <f t="shared" ref="G47:G48" si="13">F47-B47</f>
        <v>0</v>
      </c>
    </row>
    <row r="48" spans="1:8" x14ac:dyDescent="0.25">
      <c r="A48" s="68" t="s">
        <v>251</v>
      </c>
      <c r="B48" s="178">
        <v>25600000</v>
      </c>
      <c r="C48" s="178">
        <v>-1195197</v>
      </c>
      <c r="D48" s="180">
        <f t="shared" si="12"/>
        <v>24404803</v>
      </c>
      <c r="E48" s="178">
        <v>21964320</v>
      </c>
      <c r="F48" s="178">
        <v>21964320</v>
      </c>
      <c r="G48" s="180">
        <f t="shared" si="13"/>
        <v>-3635680</v>
      </c>
    </row>
    <row r="49" spans="1:7" ht="30" x14ac:dyDescent="0.25">
      <c r="A49" s="68" t="s">
        <v>252</v>
      </c>
      <c r="B49" s="178">
        <v>13300000</v>
      </c>
      <c r="C49" s="178">
        <v>1630889</v>
      </c>
      <c r="D49" s="180">
        <f t="shared" si="12"/>
        <v>14930889</v>
      </c>
      <c r="E49" s="178">
        <v>11198160</v>
      </c>
      <c r="F49" s="178">
        <v>11198160</v>
      </c>
      <c r="G49" s="180">
        <f>F49-B49</f>
        <v>-2101840</v>
      </c>
    </row>
    <row r="50" spans="1:7" x14ac:dyDescent="0.25">
      <c r="A50" s="68" t="s">
        <v>253</v>
      </c>
      <c r="B50" s="156">
        <v>0</v>
      </c>
      <c r="C50" s="156">
        <v>0</v>
      </c>
      <c r="D50" s="180">
        <f t="shared" si="12"/>
        <v>0</v>
      </c>
      <c r="E50" s="156">
        <v>0</v>
      </c>
      <c r="F50" s="156">
        <v>0</v>
      </c>
      <c r="G50" s="180">
        <f t="shared" ref="G50:G53" si="14">F50-B50</f>
        <v>0</v>
      </c>
    </row>
    <row r="51" spans="1:7" x14ac:dyDescent="0.25">
      <c r="A51" s="68" t="s">
        <v>254</v>
      </c>
      <c r="B51" s="156">
        <v>0</v>
      </c>
      <c r="C51" s="156">
        <v>0</v>
      </c>
      <c r="D51" s="180">
        <f t="shared" si="12"/>
        <v>0</v>
      </c>
      <c r="E51" s="156">
        <v>0</v>
      </c>
      <c r="F51" s="156">
        <v>0</v>
      </c>
      <c r="G51" s="180">
        <f t="shared" si="14"/>
        <v>0</v>
      </c>
    </row>
    <row r="52" spans="1:7" x14ac:dyDescent="0.25">
      <c r="A52" s="48" t="s">
        <v>255</v>
      </c>
      <c r="B52" s="156">
        <v>0</v>
      </c>
      <c r="C52" s="156">
        <v>0</v>
      </c>
      <c r="D52" s="180">
        <f t="shared" si="12"/>
        <v>0</v>
      </c>
      <c r="E52" s="156">
        <v>0</v>
      </c>
      <c r="F52" s="156">
        <v>0</v>
      </c>
      <c r="G52" s="180">
        <f t="shared" si="14"/>
        <v>0</v>
      </c>
    </row>
    <row r="53" spans="1:7" x14ac:dyDescent="0.25">
      <c r="A53" s="63" t="s">
        <v>256</v>
      </c>
      <c r="B53" s="156">
        <v>0</v>
      </c>
      <c r="C53" s="156">
        <v>0</v>
      </c>
      <c r="D53" s="180">
        <f t="shared" si="12"/>
        <v>0</v>
      </c>
      <c r="E53" s="156">
        <v>0</v>
      </c>
      <c r="F53" s="156">
        <v>0</v>
      </c>
      <c r="G53" s="180">
        <f t="shared" si="14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15">SUM(C55:C58)</f>
        <v>200000</v>
      </c>
      <c r="D54" s="60">
        <f t="shared" si="15"/>
        <v>200000</v>
      </c>
      <c r="E54" s="60">
        <f t="shared" si="15"/>
        <v>200000</v>
      </c>
      <c r="F54" s="60">
        <f t="shared" si="15"/>
        <v>200000</v>
      </c>
      <c r="G54" s="60">
        <f t="shared" si="15"/>
        <v>200000</v>
      </c>
    </row>
    <row r="55" spans="1:7" x14ac:dyDescent="0.25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25">
      <c r="A56" s="68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 t="shared" ref="G56:G58" si="16">F56-B56</f>
        <v>0</v>
      </c>
    </row>
    <row r="57" spans="1:7" x14ac:dyDescent="0.25">
      <c r="A57" s="68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 t="shared" si="16"/>
        <v>0</v>
      </c>
    </row>
    <row r="58" spans="1:7" x14ac:dyDescent="0.25">
      <c r="A58" s="48" t="s">
        <v>261</v>
      </c>
      <c r="B58" s="178">
        <v>0</v>
      </c>
      <c r="C58" s="178">
        <v>200000</v>
      </c>
      <c r="D58" s="180">
        <f t="shared" ref="D58" si="17">B58+C58</f>
        <v>200000</v>
      </c>
      <c r="E58" s="178">
        <v>200000</v>
      </c>
      <c r="F58" s="178">
        <v>200000</v>
      </c>
      <c r="G58" s="180">
        <f t="shared" si="16"/>
        <v>200000</v>
      </c>
    </row>
    <row r="59" spans="1:7" x14ac:dyDescent="0.25">
      <c r="A59" s="53" t="s">
        <v>262</v>
      </c>
      <c r="B59" s="60">
        <v>0</v>
      </c>
      <c r="C59" s="60">
        <v>0</v>
      </c>
      <c r="D59" s="60">
        <v>0</v>
      </c>
      <c r="E59" s="60">
        <v>0</v>
      </c>
      <c r="F59" s="60">
        <v>0</v>
      </c>
      <c r="G59" s="60">
        <f t="shared" ref="G59" si="18">SUM(G60:G61)</f>
        <v>0</v>
      </c>
    </row>
    <row r="60" spans="1:7" x14ac:dyDescent="0.25">
      <c r="A60" s="68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25">
      <c r="A61" s="68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25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25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38900000</v>
      </c>
      <c r="C65" s="61">
        <f t="shared" ref="C65:G65" si="19">C45+C54+C59+C62+C63</f>
        <v>635692</v>
      </c>
      <c r="D65" s="61">
        <f t="shared" si="19"/>
        <v>39535692</v>
      </c>
      <c r="E65" s="61">
        <f t="shared" si="19"/>
        <v>33362480</v>
      </c>
      <c r="F65" s="61">
        <f t="shared" si="19"/>
        <v>33362480</v>
      </c>
      <c r="G65" s="61">
        <f t="shared" si="19"/>
        <v>-5537520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20">C68</f>
        <v>0</v>
      </c>
      <c r="D67" s="61">
        <f t="shared" si="20"/>
        <v>0</v>
      </c>
      <c r="E67" s="61">
        <f t="shared" si="20"/>
        <v>0</v>
      </c>
      <c r="F67" s="61">
        <f t="shared" si="20"/>
        <v>0</v>
      </c>
      <c r="G67" s="61">
        <f t="shared" si="20"/>
        <v>0</v>
      </c>
    </row>
    <row r="68" spans="1:7" x14ac:dyDescent="0.25">
      <c r="A68" s="53" t="s">
        <v>269</v>
      </c>
      <c r="B68" s="178">
        <v>0</v>
      </c>
      <c r="C68" s="178">
        <v>0</v>
      </c>
      <c r="D68" s="180">
        <f>B68+C68</f>
        <v>0</v>
      </c>
      <c r="E68" s="178">
        <v>0</v>
      </c>
      <c r="F68" s="178">
        <v>0</v>
      </c>
      <c r="G68" s="180">
        <f t="shared" ref="G68" si="21"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94839000</v>
      </c>
      <c r="C70" s="61">
        <f t="shared" ref="C70:G70" si="22">C41+C65+C67</f>
        <v>21048830.229999997</v>
      </c>
      <c r="D70" s="61">
        <f t="shared" si="22"/>
        <v>115887830.23</v>
      </c>
      <c r="E70" s="61">
        <f t="shared" si="22"/>
        <v>88898166.590000004</v>
      </c>
      <c r="F70" s="61">
        <f t="shared" si="22"/>
        <v>88898166.590000004</v>
      </c>
      <c r="G70" s="61">
        <f t="shared" si="22"/>
        <v>-5940833.4100000039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6" t="s">
        <v>272</v>
      </c>
      <c r="B73" s="60">
        <v>0</v>
      </c>
      <c r="C73" s="60">
        <v>0</v>
      </c>
      <c r="D73" s="60">
        <v>0</v>
      </c>
      <c r="E73" s="60">
        <v>0</v>
      </c>
      <c r="F73" s="60">
        <v>0</v>
      </c>
      <c r="G73" s="60">
        <v>0</v>
      </c>
    </row>
    <row r="74" spans="1:7" ht="30" x14ac:dyDescent="0.25">
      <c r="A74" s="126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v>0</v>
      </c>
    </row>
    <row r="75" spans="1:7" x14ac:dyDescent="0.25">
      <c r="A75" s="118" t="s">
        <v>274</v>
      </c>
      <c r="B75" s="61">
        <f>B73+B74</f>
        <v>0</v>
      </c>
      <c r="C75" s="61">
        <f t="shared" ref="C75:G75" si="23">C73+C74</f>
        <v>0</v>
      </c>
      <c r="D75" s="61">
        <f t="shared" si="23"/>
        <v>0</v>
      </c>
      <c r="E75" s="61">
        <f t="shared" si="23"/>
        <v>0</v>
      </c>
      <c r="F75" s="61">
        <f t="shared" si="23"/>
        <v>0</v>
      </c>
      <c r="G75" s="61">
        <f t="shared" si="23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1141700</v>
      </c>
      <c r="Q3" s="18">
        <f>'Formato 5'!C9</f>
        <v>-6500</v>
      </c>
      <c r="R3" s="18">
        <f>'Formato 5'!D9</f>
        <v>1135200</v>
      </c>
      <c r="S3" s="18">
        <f>'Formato 5'!E9</f>
        <v>1203097.83</v>
      </c>
      <c r="T3" s="18">
        <f>'Formato 5'!F9</f>
        <v>1203097.83</v>
      </c>
      <c r="U3" s="18">
        <f>'Formato 5'!G9</f>
        <v>61397.830000000075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200</v>
      </c>
      <c r="Q5" s="18">
        <f>'Formato 5'!C11</f>
        <v>-200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-200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2207100</v>
      </c>
      <c r="Q6" s="18">
        <f>'Formato 5'!C12</f>
        <v>-1058200</v>
      </c>
      <c r="R6" s="18">
        <f>'Formato 5'!D12</f>
        <v>1148900</v>
      </c>
      <c r="S6" s="18">
        <f>'Formato 5'!E12</f>
        <v>1447697.46</v>
      </c>
      <c r="T6" s="18">
        <f>'Formato 5'!F12</f>
        <v>1447697.46</v>
      </c>
      <c r="U6" s="18">
        <f>'Formato 5'!G12</f>
        <v>-759402.54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183600</v>
      </c>
      <c r="Q7" s="18">
        <f>'Formato 5'!C13</f>
        <v>-159400</v>
      </c>
      <c r="R7" s="18">
        <f>'Formato 5'!D13</f>
        <v>24200</v>
      </c>
      <c r="S7" s="18">
        <f>'Formato 5'!E13</f>
        <v>120504.52</v>
      </c>
      <c r="T7" s="18">
        <f>'Formato 5'!F13</f>
        <v>120504.52</v>
      </c>
      <c r="U7" s="18">
        <f>'Formato 5'!G13</f>
        <v>-63095.479999999996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245400</v>
      </c>
      <c r="Q8" s="18">
        <f>'Formato 5'!C14</f>
        <v>-120400</v>
      </c>
      <c r="R8" s="18">
        <f>'Formato 5'!D14</f>
        <v>125000</v>
      </c>
      <c r="S8" s="18">
        <f>'Formato 5'!E14</f>
        <v>265343.07</v>
      </c>
      <c r="T8" s="18">
        <f>'Formato 5'!F14</f>
        <v>265343.07</v>
      </c>
      <c r="U8" s="18">
        <f>'Formato 5'!G14</f>
        <v>19943.070000000007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51550000</v>
      </c>
      <c r="Q10" s="18">
        <f>'Formato 5'!C16</f>
        <v>3284743.92</v>
      </c>
      <c r="R10" s="18">
        <f>'Formato 5'!D16</f>
        <v>54834743.920000002</v>
      </c>
      <c r="S10" s="18">
        <f>'Formato 5'!E16</f>
        <v>49082197.349999994</v>
      </c>
      <c r="T10" s="18">
        <f>'Formato 5'!F16</f>
        <v>49082197.349999994</v>
      </c>
      <c r="U10" s="18">
        <f>'Formato 5'!G16</f>
        <v>-2467802.6500000041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21500000</v>
      </c>
      <c r="Q11" s="18">
        <f>'Formato 5'!C17</f>
        <v>2132591.92</v>
      </c>
      <c r="R11" s="18">
        <f>'Formato 5'!D17</f>
        <v>23632591.920000002</v>
      </c>
      <c r="S11" s="18">
        <f>'Formato 5'!E17</f>
        <v>21266969.829999998</v>
      </c>
      <c r="T11" s="18">
        <f>'Formato 5'!F17</f>
        <v>21266969.829999998</v>
      </c>
      <c r="U11" s="18">
        <f>'Formato 5'!G17</f>
        <v>-233030.17000000179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25960000</v>
      </c>
      <c r="Q12" s="18">
        <f>'Formato 5'!C18</f>
        <v>1202449</v>
      </c>
      <c r="R12" s="18">
        <f>'Formato 5'!D18</f>
        <v>27162449</v>
      </c>
      <c r="S12" s="18">
        <f>'Formato 5'!E18</f>
        <v>23875778.079999998</v>
      </c>
      <c r="T12" s="18">
        <f>'Formato 5'!F18</f>
        <v>23875778.079999998</v>
      </c>
      <c r="U12" s="18">
        <f>'Formato 5'!G18</f>
        <v>-2084221.9200000018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380000</v>
      </c>
      <c r="Q13" s="18">
        <f>'Formato 5'!C19</f>
        <v>0</v>
      </c>
      <c r="R13" s="18">
        <f>'Formato 5'!D19</f>
        <v>380000</v>
      </c>
      <c r="S13" s="18">
        <f>'Formato 5'!E19</f>
        <v>541787.52</v>
      </c>
      <c r="T13" s="18">
        <f>'Formato 5'!F19</f>
        <v>541787.52</v>
      </c>
      <c r="U13" s="18">
        <f>'Formato 5'!G19</f>
        <v>161787.52000000002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1500000</v>
      </c>
      <c r="Q16" s="18">
        <f>'Formato 5'!C22</f>
        <v>85148</v>
      </c>
      <c r="R16" s="18">
        <f>'Formato 5'!D22</f>
        <v>1585148</v>
      </c>
      <c r="S16" s="18">
        <f>'Formato 5'!E22</f>
        <v>1493359.16</v>
      </c>
      <c r="T16" s="18">
        <f>'Formato 5'!F22</f>
        <v>1493359.16</v>
      </c>
      <c r="U16" s="18">
        <f>'Formato 5'!G22</f>
        <v>-6640.8400000000838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460000</v>
      </c>
      <c r="Q19" s="18">
        <f>'Formato 5'!C25</f>
        <v>-135445</v>
      </c>
      <c r="R19" s="18">
        <f>'Formato 5'!D25</f>
        <v>324555</v>
      </c>
      <c r="S19" s="18">
        <f>'Formato 5'!E25</f>
        <v>247239.76</v>
      </c>
      <c r="T19" s="18">
        <f>'Formato 5'!F25</f>
        <v>247239.76</v>
      </c>
      <c r="U19" s="18">
        <f>'Formato 5'!G25</f>
        <v>-212760.24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1750000</v>
      </c>
      <c r="Q20" s="18">
        <f>'Formato 5'!C26</f>
        <v>0</v>
      </c>
      <c r="R20" s="18">
        <f>'Formato 5'!D26</f>
        <v>1750000</v>
      </c>
      <c r="S20" s="18">
        <f>'Formato 5'!E26</f>
        <v>1657063</v>
      </c>
      <c r="T20" s="18">
        <f>'Formato 5'!F26</f>
        <v>1657063</v>
      </c>
      <c r="U20" s="18">
        <f>'Formato 5'!G26</f>
        <v>-92937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611000</v>
      </c>
      <c r="Q22" s="18">
        <f>'Formato 5'!C28</f>
        <v>136639</v>
      </c>
      <c r="R22" s="18">
        <f>'Formato 5'!D28</f>
        <v>747639</v>
      </c>
      <c r="S22" s="18">
        <f>'Formato 5'!E28</f>
        <v>751246.57000000007</v>
      </c>
      <c r="T22" s="18">
        <f>'Formato 5'!F28</f>
        <v>751246.57000000007</v>
      </c>
      <c r="U22" s="18">
        <f>'Formato 5'!G28</f>
        <v>140246.57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5000</v>
      </c>
      <c r="Q23" s="18">
        <f>'Formato 5'!C29</f>
        <v>-5000</v>
      </c>
      <c r="R23" s="18">
        <f>'Formato 5'!D29</f>
        <v>0</v>
      </c>
      <c r="S23" s="18">
        <f>'Formato 5'!E29</f>
        <v>3780.36</v>
      </c>
      <c r="T23" s="18">
        <f>'Formato 5'!F29</f>
        <v>3780.36</v>
      </c>
      <c r="U23" s="18">
        <f>'Formato 5'!G29</f>
        <v>-1219.6399999999999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50000</v>
      </c>
      <c r="Q24" s="18">
        <f>'Formato 5'!C30</f>
        <v>20599</v>
      </c>
      <c r="R24" s="18">
        <f>'Formato 5'!D30</f>
        <v>70599</v>
      </c>
      <c r="S24" s="18">
        <f>'Formato 5'!E30</f>
        <v>52723.53</v>
      </c>
      <c r="T24" s="18">
        <f>'Formato 5'!F30</f>
        <v>52723.53</v>
      </c>
      <c r="U24" s="18">
        <f>'Formato 5'!G30</f>
        <v>2723.5299999999988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230000</v>
      </c>
      <c r="Q25" s="18">
        <f>'Formato 5'!C31</f>
        <v>90327</v>
      </c>
      <c r="R25" s="18">
        <f>'Formato 5'!D31</f>
        <v>320327</v>
      </c>
      <c r="S25" s="18">
        <f>'Formato 5'!E31</f>
        <v>300752.94</v>
      </c>
      <c r="T25" s="18">
        <f>'Formato 5'!F31</f>
        <v>300752.94</v>
      </c>
      <c r="U25" s="18">
        <f>'Formato 5'!G31</f>
        <v>70752.94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1000</v>
      </c>
      <c r="Q26" s="18">
        <f>'Formato 5'!C32</f>
        <v>-1000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-1000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325000</v>
      </c>
      <c r="Q27" s="18">
        <f>'Formato 5'!C33</f>
        <v>31713</v>
      </c>
      <c r="R27" s="18">
        <f>'Formato 5'!D33</f>
        <v>356713</v>
      </c>
      <c r="S27" s="18">
        <f>'Formato 5'!E33</f>
        <v>393989.74</v>
      </c>
      <c r="T27" s="18">
        <f>'Formato 5'!F33</f>
        <v>393989.74</v>
      </c>
      <c r="U27" s="18">
        <f>'Formato 5'!G33</f>
        <v>68989.739999999991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18336455.309999999</v>
      </c>
      <c r="R29" s="18">
        <f>'Formato 5'!D35</f>
        <v>18336455.309999999</v>
      </c>
      <c r="S29" s="18">
        <f>'Formato 5'!E35</f>
        <v>2665599.79</v>
      </c>
      <c r="T29" s="18">
        <f>'Formato 5'!F35</f>
        <v>2665599.79</v>
      </c>
      <c r="U29" s="18">
        <f>'Formato 5'!G35</f>
        <v>2665599.79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18336455.309999999</v>
      </c>
      <c r="R30" s="18">
        <f>'Formato 5'!D36</f>
        <v>18336455.309999999</v>
      </c>
      <c r="S30" s="18">
        <f>'Formato 5'!E36</f>
        <v>2665599.79</v>
      </c>
      <c r="T30" s="18">
        <f>'Formato 5'!F36</f>
        <v>2665599.79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55939000</v>
      </c>
      <c r="Q34">
        <f>'Formato 5'!C41</f>
        <v>20413138.229999997</v>
      </c>
      <c r="R34">
        <f>'Formato 5'!D41</f>
        <v>76352138.230000004</v>
      </c>
      <c r="S34">
        <f>'Formato 5'!E41</f>
        <v>55535686.589999996</v>
      </c>
      <c r="T34">
        <f>'Formato 5'!F41</f>
        <v>55535686.589999996</v>
      </c>
      <c r="U34">
        <f>'Formato 5'!G41</f>
        <v>-403313.41000000434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38900000</v>
      </c>
      <c r="Q37">
        <f>'Formato 5'!C45</f>
        <v>435692</v>
      </c>
      <c r="R37">
        <f>'Formato 5'!D45</f>
        <v>39335692</v>
      </c>
      <c r="S37">
        <f>'Formato 5'!E45</f>
        <v>33162480</v>
      </c>
      <c r="T37">
        <f>'Formato 5'!F45</f>
        <v>33162480</v>
      </c>
      <c r="U37">
        <f>'Formato 5'!G45</f>
        <v>-5737520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25600000</v>
      </c>
      <c r="Q40">
        <f>'Formato 5'!C48</f>
        <v>-1195197</v>
      </c>
      <c r="R40">
        <f>'Formato 5'!D48</f>
        <v>24404803</v>
      </c>
      <c r="S40">
        <f>'Formato 5'!E48</f>
        <v>21964320</v>
      </c>
      <c r="T40">
        <f>'Formato 5'!F48</f>
        <v>21964320</v>
      </c>
      <c r="U40">
        <f>'Formato 5'!G48</f>
        <v>-3635680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13300000</v>
      </c>
      <c r="Q41">
        <f>'Formato 5'!C49</f>
        <v>1630889</v>
      </c>
      <c r="R41">
        <f>'Formato 5'!D49</f>
        <v>14930889</v>
      </c>
      <c r="S41">
        <f>'Formato 5'!E49</f>
        <v>11198160</v>
      </c>
      <c r="T41">
        <f>'Formato 5'!F49</f>
        <v>11198160</v>
      </c>
      <c r="U41">
        <f>'Formato 5'!G49</f>
        <v>-2101840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200000</v>
      </c>
      <c r="R46">
        <f>'Formato 5'!D54</f>
        <v>200000</v>
      </c>
      <c r="S46">
        <f>'Formato 5'!E54</f>
        <v>200000</v>
      </c>
      <c r="T46">
        <f>'Formato 5'!F54</f>
        <v>200000</v>
      </c>
      <c r="U46">
        <f>'Formato 5'!G54</f>
        <v>200000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200000</v>
      </c>
      <c r="R50">
        <f>'Formato 5'!D58</f>
        <v>200000</v>
      </c>
      <c r="S50">
        <f>'Formato 5'!E58</f>
        <v>200000</v>
      </c>
      <c r="T50">
        <f>'Formato 5'!F58</f>
        <v>200000</v>
      </c>
      <c r="U50">
        <f>'Formato 5'!G58</f>
        <v>200000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38900000</v>
      </c>
      <c r="Q56">
        <f>'Formato 5'!C65</f>
        <v>635692</v>
      </c>
      <c r="R56">
        <f>'Formato 5'!D65</f>
        <v>39535692</v>
      </c>
      <c r="S56">
        <f>'Formato 5'!E65</f>
        <v>33362480</v>
      </c>
      <c r="T56">
        <f>'Formato 5'!F65</f>
        <v>33362480</v>
      </c>
      <c r="U56">
        <f>'Formato 5'!G65</f>
        <v>-5537520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topLeftCell="A134" zoomScale="73" zoomScaleNormal="73" zoomScalePageLayoutView="90" workbookViewId="0">
      <selection activeCell="A151" sqref="A151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208" t="s">
        <v>3285</v>
      </c>
      <c r="B1" s="207"/>
      <c r="C1" s="207"/>
      <c r="D1" s="207"/>
      <c r="E1" s="207"/>
      <c r="F1" s="207"/>
      <c r="G1" s="207"/>
    </row>
    <row r="2" spans="1:7" x14ac:dyDescent="0.25">
      <c r="A2" s="211" t="str">
        <f>ENTE_PUBLICO_A</f>
        <v>Municipio de Tierra Blanca Guanajuato, Gobierno del Estado de Guanajuato (a)</v>
      </c>
      <c r="B2" s="211"/>
      <c r="C2" s="211"/>
      <c r="D2" s="211"/>
      <c r="E2" s="211"/>
      <c r="F2" s="211"/>
      <c r="G2" s="211"/>
    </row>
    <row r="3" spans="1:7" x14ac:dyDescent="0.25">
      <c r="A3" s="212" t="s">
        <v>277</v>
      </c>
      <c r="B3" s="212"/>
      <c r="C3" s="212"/>
      <c r="D3" s="212"/>
      <c r="E3" s="212"/>
      <c r="F3" s="212"/>
      <c r="G3" s="212"/>
    </row>
    <row r="4" spans="1:7" x14ac:dyDescent="0.25">
      <c r="A4" s="212" t="s">
        <v>278</v>
      </c>
      <c r="B4" s="212"/>
      <c r="C4" s="212"/>
      <c r="D4" s="212"/>
      <c r="E4" s="212"/>
      <c r="F4" s="212"/>
      <c r="G4" s="212"/>
    </row>
    <row r="5" spans="1:7" x14ac:dyDescent="0.25">
      <c r="A5" s="213" t="str">
        <f>TRIMESTRE</f>
        <v>Del 1 de enero al 30 de septiembre de 2022 (b)</v>
      </c>
      <c r="B5" s="213"/>
      <c r="C5" s="213"/>
      <c r="D5" s="213"/>
      <c r="E5" s="213"/>
      <c r="F5" s="213"/>
      <c r="G5" s="213"/>
    </row>
    <row r="6" spans="1:7" x14ac:dyDescent="0.25">
      <c r="A6" s="205" t="s">
        <v>118</v>
      </c>
      <c r="B6" s="205"/>
      <c r="C6" s="205"/>
      <c r="D6" s="205"/>
      <c r="E6" s="205"/>
      <c r="F6" s="205"/>
      <c r="G6" s="205"/>
    </row>
    <row r="7" spans="1:7" ht="15" customHeight="1" x14ac:dyDescent="0.25">
      <c r="A7" s="209" t="s">
        <v>0</v>
      </c>
      <c r="B7" s="209" t="s">
        <v>279</v>
      </c>
      <c r="C7" s="209"/>
      <c r="D7" s="209"/>
      <c r="E7" s="209"/>
      <c r="F7" s="209"/>
      <c r="G7" s="210" t="s">
        <v>280</v>
      </c>
    </row>
    <row r="8" spans="1:7" ht="30" x14ac:dyDescent="0.25">
      <c r="A8" s="209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209"/>
    </row>
    <row r="9" spans="1:7" x14ac:dyDescent="0.25">
      <c r="A9" s="81" t="s">
        <v>285</v>
      </c>
      <c r="B9" s="159">
        <f>SUM(B10,B18,B28,B38,B48,B58,B62,B71,B75)</f>
        <v>55939000</v>
      </c>
      <c r="C9" s="159">
        <f t="shared" ref="C9" si="0">C10+C18+C189+C28+C38+C48+C58+C62+C71+C75</f>
        <v>16167838.890000001</v>
      </c>
      <c r="D9" s="159">
        <f t="shared" ref="C9:F9" si="1">SUM(D10,D18,D28,D38,D48,D58,D62,D71,D75)</f>
        <v>72106838.890000001</v>
      </c>
      <c r="E9" s="159">
        <f t="shared" si="1"/>
        <v>42083784.600000009</v>
      </c>
      <c r="F9" s="159">
        <f t="shared" si="1"/>
        <v>42083784.600000009</v>
      </c>
      <c r="G9" s="159">
        <f>SUM(G10,G18,G28,G38,G48,G58,G62,G71,G75)</f>
        <v>30023054.289999999</v>
      </c>
    </row>
    <row r="10" spans="1:7" x14ac:dyDescent="0.25">
      <c r="A10" s="82" t="s">
        <v>286</v>
      </c>
      <c r="B10" s="79">
        <f>SUM(B11:B17)</f>
        <v>30766394.489999998</v>
      </c>
      <c r="C10" s="79">
        <f t="shared" ref="C10:F10" si="2">SUM(C11:C17)</f>
        <v>1662298.65</v>
      </c>
      <c r="D10" s="79">
        <f t="shared" si="2"/>
        <v>32428693.140000001</v>
      </c>
      <c r="E10" s="79">
        <f t="shared" si="2"/>
        <v>18683409.550000004</v>
      </c>
      <c r="F10" s="79">
        <f t="shared" si="2"/>
        <v>18683409.550000004</v>
      </c>
      <c r="G10" s="163">
        <f>SUM(G11:G17)</f>
        <v>13745283.589999998</v>
      </c>
    </row>
    <row r="11" spans="1:7" x14ac:dyDescent="0.25">
      <c r="A11" s="83" t="s">
        <v>287</v>
      </c>
      <c r="B11" s="181">
        <v>22777596.68</v>
      </c>
      <c r="C11" s="181">
        <v>386360.7</v>
      </c>
      <c r="D11" s="182">
        <f>B11+C11</f>
        <v>23163957.379999999</v>
      </c>
      <c r="E11" s="181">
        <v>16740000.310000001</v>
      </c>
      <c r="F11" s="181">
        <v>16740000.310000001</v>
      </c>
      <c r="G11" s="182">
        <f>D11-E11</f>
        <v>6423957.0699999984</v>
      </c>
    </row>
    <row r="12" spans="1:7" x14ac:dyDescent="0.25">
      <c r="A12" s="83" t="s">
        <v>288</v>
      </c>
      <c r="B12" s="181">
        <v>1205000</v>
      </c>
      <c r="C12" s="181">
        <v>269000</v>
      </c>
      <c r="D12" s="182">
        <f t="shared" ref="D12:D16" si="3">B12+C12</f>
        <v>1474000</v>
      </c>
      <c r="E12" s="181">
        <v>1093738.8500000001</v>
      </c>
      <c r="F12" s="181">
        <v>1093738.8500000001</v>
      </c>
      <c r="G12" s="182">
        <f t="shared" ref="G12:G16" si="4">D12-E12</f>
        <v>380261.14999999991</v>
      </c>
    </row>
    <row r="13" spans="1:7" ht="14.25" customHeight="1" x14ac:dyDescent="0.25">
      <c r="A13" s="83" t="s">
        <v>289</v>
      </c>
      <c r="B13" s="181">
        <v>3501056.41</v>
      </c>
      <c r="C13" s="181">
        <v>49852.84</v>
      </c>
      <c r="D13" s="182">
        <f t="shared" si="3"/>
        <v>3550909.25</v>
      </c>
      <c r="E13" s="181">
        <v>256507.01</v>
      </c>
      <c r="F13" s="181">
        <v>256507.01</v>
      </c>
      <c r="G13" s="182">
        <f t="shared" si="4"/>
        <v>3294402.24</v>
      </c>
    </row>
    <row r="14" spans="1:7" ht="14.25" customHeight="1" x14ac:dyDescent="0.25">
      <c r="A14" s="83" t="s">
        <v>290</v>
      </c>
      <c r="B14" s="181">
        <v>250000</v>
      </c>
      <c r="C14" s="181">
        <v>0</v>
      </c>
      <c r="D14" s="182">
        <f t="shared" si="3"/>
        <v>250000</v>
      </c>
      <c r="E14" s="181">
        <v>0</v>
      </c>
      <c r="F14" s="181">
        <v>0</v>
      </c>
      <c r="G14" s="182">
        <f t="shared" si="4"/>
        <v>250000</v>
      </c>
    </row>
    <row r="15" spans="1:7" x14ac:dyDescent="0.25">
      <c r="A15" s="83" t="s">
        <v>291</v>
      </c>
      <c r="B15" s="181">
        <v>2332741.4</v>
      </c>
      <c r="C15" s="181">
        <v>30785.9</v>
      </c>
      <c r="D15" s="182">
        <f t="shared" si="3"/>
        <v>2363527.2999999998</v>
      </c>
      <c r="E15" s="181">
        <v>538800.37</v>
      </c>
      <c r="F15" s="181">
        <v>538800.37</v>
      </c>
      <c r="G15" s="182">
        <f t="shared" si="4"/>
        <v>1824726.9299999997</v>
      </c>
    </row>
    <row r="16" spans="1:7" ht="14.25" customHeight="1" x14ac:dyDescent="0.25">
      <c r="A16" s="83" t="s">
        <v>292</v>
      </c>
      <c r="B16" s="181">
        <v>700000</v>
      </c>
      <c r="C16" s="181">
        <v>926299.21</v>
      </c>
      <c r="D16" s="182">
        <f t="shared" si="3"/>
        <v>1626299.21</v>
      </c>
      <c r="E16" s="181">
        <v>54363.01</v>
      </c>
      <c r="F16" s="181">
        <v>54363.01</v>
      </c>
      <c r="G16" s="182">
        <f t="shared" si="4"/>
        <v>1571936.2</v>
      </c>
    </row>
    <row r="17" spans="1:7" x14ac:dyDescent="0.25">
      <c r="A17" s="83" t="s">
        <v>293</v>
      </c>
      <c r="B17" s="79">
        <v>0</v>
      </c>
      <c r="C17" s="160">
        <v>0</v>
      </c>
      <c r="D17" s="160">
        <v>0</v>
      </c>
      <c r="E17" s="160">
        <v>0</v>
      </c>
      <c r="F17" s="160">
        <v>0</v>
      </c>
      <c r="G17" s="160">
        <v>0</v>
      </c>
    </row>
    <row r="18" spans="1:7" x14ac:dyDescent="0.25">
      <c r="A18" s="82" t="s">
        <v>294</v>
      </c>
      <c r="B18" s="79">
        <f>SUM(B19:B27)</f>
        <v>3872824.91</v>
      </c>
      <c r="C18" s="79">
        <f t="shared" ref="C18:F18" si="5">SUM(C19:C27)</f>
        <v>3213182.17</v>
      </c>
      <c r="D18" s="79">
        <f t="shared" si="5"/>
        <v>7086007.0800000001</v>
      </c>
      <c r="E18" s="79">
        <f t="shared" si="5"/>
        <v>4120738.8</v>
      </c>
      <c r="F18" s="79">
        <f t="shared" si="5"/>
        <v>4120738.8</v>
      </c>
      <c r="G18" s="79">
        <f>SUM(G19:G27)</f>
        <v>2965268.2800000007</v>
      </c>
    </row>
    <row r="19" spans="1:7" x14ac:dyDescent="0.25">
      <c r="A19" s="83" t="s">
        <v>295</v>
      </c>
      <c r="B19" s="181">
        <v>659500</v>
      </c>
      <c r="C19" s="181">
        <v>424089.08</v>
      </c>
      <c r="D19" s="182">
        <f t="shared" ref="D19:D27" si="6">B19+C19</f>
        <v>1083589.08</v>
      </c>
      <c r="E19" s="181">
        <v>262036.67</v>
      </c>
      <c r="F19" s="181">
        <v>262036.67</v>
      </c>
      <c r="G19" s="182">
        <f t="shared" ref="G19:G27" si="7">D19-E19</f>
        <v>821552.41</v>
      </c>
    </row>
    <row r="20" spans="1:7" x14ac:dyDescent="0.25">
      <c r="A20" s="83" t="s">
        <v>296</v>
      </c>
      <c r="B20" s="181">
        <v>211000</v>
      </c>
      <c r="C20" s="181">
        <v>381103.35</v>
      </c>
      <c r="D20" s="182">
        <f t="shared" si="6"/>
        <v>592103.35</v>
      </c>
      <c r="E20" s="181">
        <v>183866.96</v>
      </c>
      <c r="F20" s="181">
        <v>183866.96</v>
      </c>
      <c r="G20" s="182">
        <f t="shared" si="7"/>
        <v>408236.39</v>
      </c>
    </row>
    <row r="21" spans="1:7" x14ac:dyDescent="0.25">
      <c r="A21" s="83" t="s">
        <v>297</v>
      </c>
      <c r="B21" s="182"/>
      <c r="C21" s="182"/>
      <c r="D21" s="182">
        <f t="shared" si="6"/>
        <v>0</v>
      </c>
      <c r="E21" s="182"/>
      <c r="F21" s="182"/>
      <c r="G21" s="182">
        <f t="shared" si="7"/>
        <v>0</v>
      </c>
    </row>
    <row r="22" spans="1:7" x14ac:dyDescent="0.25">
      <c r="A22" s="83" t="s">
        <v>298</v>
      </c>
      <c r="B22" s="181">
        <v>548210</v>
      </c>
      <c r="C22" s="181">
        <v>119639</v>
      </c>
      <c r="D22" s="182">
        <f t="shared" si="6"/>
        <v>667849</v>
      </c>
      <c r="E22" s="181">
        <v>130249.39</v>
      </c>
      <c r="F22" s="181">
        <v>130249.39</v>
      </c>
      <c r="G22" s="182">
        <f t="shared" si="7"/>
        <v>537599.61</v>
      </c>
    </row>
    <row r="23" spans="1:7" x14ac:dyDescent="0.25">
      <c r="A23" s="83" t="s">
        <v>299</v>
      </c>
      <c r="B23" s="181">
        <v>27000</v>
      </c>
      <c r="C23" s="181">
        <v>-12000</v>
      </c>
      <c r="D23" s="182">
        <f t="shared" si="6"/>
        <v>15000</v>
      </c>
      <c r="E23" s="181">
        <v>0</v>
      </c>
      <c r="F23" s="181">
        <v>0</v>
      </c>
      <c r="G23" s="182">
        <f t="shared" si="7"/>
        <v>15000</v>
      </c>
    </row>
    <row r="24" spans="1:7" x14ac:dyDescent="0.25">
      <c r="A24" s="83" t="s">
        <v>300</v>
      </c>
      <c r="B24" s="181">
        <v>2166114.91</v>
      </c>
      <c r="C24" s="181">
        <v>2314850.7400000002</v>
      </c>
      <c r="D24" s="182">
        <f t="shared" si="6"/>
        <v>4480965.6500000004</v>
      </c>
      <c r="E24" s="181">
        <v>3408491.58</v>
      </c>
      <c r="F24" s="181">
        <v>3408491.58</v>
      </c>
      <c r="G24" s="182">
        <f t="shared" si="7"/>
        <v>1072474.0700000003</v>
      </c>
    </row>
    <row r="25" spans="1:7" x14ac:dyDescent="0.25">
      <c r="A25" s="83" t="s">
        <v>301</v>
      </c>
      <c r="B25" s="181">
        <v>159000</v>
      </c>
      <c r="C25" s="181">
        <v>-7500</v>
      </c>
      <c r="D25" s="182">
        <f t="shared" si="6"/>
        <v>151500</v>
      </c>
      <c r="E25" s="181">
        <v>127296.19</v>
      </c>
      <c r="F25" s="181">
        <v>127296.19</v>
      </c>
      <c r="G25" s="182">
        <f t="shared" si="7"/>
        <v>24203.809999999998</v>
      </c>
    </row>
    <row r="26" spans="1:7" x14ac:dyDescent="0.25">
      <c r="A26" s="83" t="s">
        <v>302</v>
      </c>
      <c r="B26" s="182"/>
      <c r="C26" s="182"/>
      <c r="D26" s="182">
        <f t="shared" si="6"/>
        <v>0</v>
      </c>
      <c r="E26" s="182"/>
      <c r="F26" s="182"/>
      <c r="G26" s="182">
        <f t="shared" si="7"/>
        <v>0</v>
      </c>
    </row>
    <row r="27" spans="1:7" x14ac:dyDescent="0.25">
      <c r="A27" s="83" t="s">
        <v>303</v>
      </c>
      <c r="B27" s="181">
        <v>102000</v>
      </c>
      <c r="C27" s="181">
        <v>-7000</v>
      </c>
      <c r="D27" s="182">
        <f t="shared" si="6"/>
        <v>95000</v>
      </c>
      <c r="E27" s="181">
        <v>8798.01</v>
      </c>
      <c r="F27" s="181">
        <v>8798.01</v>
      </c>
      <c r="G27" s="182">
        <f t="shared" si="7"/>
        <v>86201.99</v>
      </c>
    </row>
    <row r="28" spans="1:7" x14ac:dyDescent="0.25">
      <c r="A28" s="82" t="s">
        <v>304</v>
      </c>
      <c r="B28" s="79">
        <f>SUM(B29:B37)</f>
        <v>10944710.42</v>
      </c>
      <c r="C28" s="79">
        <f t="shared" ref="C28:G28" si="8">SUM(C29:C37)</f>
        <v>5154112.32</v>
      </c>
      <c r="D28" s="79">
        <f t="shared" si="8"/>
        <v>16098822.74</v>
      </c>
      <c r="E28" s="79">
        <f t="shared" si="8"/>
        <v>8229792.3300000001</v>
      </c>
      <c r="F28" s="79">
        <f t="shared" si="8"/>
        <v>8229792.3300000001</v>
      </c>
      <c r="G28" s="79">
        <f t="shared" si="8"/>
        <v>7869030.4099999983</v>
      </c>
    </row>
    <row r="29" spans="1:7" x14ac:dyDescent="0.25">
      <c r="A29" s="83" t="s">
        <v>305</v>
      </c>
      <c r="B29" s="181">
        <v>1720000</v>
      </c>
      <c r="C29" s="181">
        <v>400305.23</v>
      </c>
      <c r="D29" s="182">
        <f t="shared" ref="D29:D37" si="9">B29+C29</f>
        <v>2120305.23</v>
      </c>
      <c r="E29" s="181">
        <v>1714793.45</v>
      </c>
      <c r="F29" s="181">
        <v>1714793.45</v>
      </c>
      <c r="G29" s="182">
        <f t="shared" ref="G29:G37" si="10">D29-E29</f>
        <v>405511.78</v>
      </c>
    </row>
    <row r="30" spans="1:7" x14ac:dyDescent="0.25">
      <c r="A30" s="83" t="s">
        <v>306</v>
      </c>
      <c r="B30" s="181">
        <v>267000</v>
      </c>
      <c r="C30" s="181">
        <v>33810</v>
      </c>
      <c r="D30" s="182">
        <f t="shared" si="9"/>
        <v>300810</v>
      </c>
      <c r="E30" s="181">
        <v>131137.20000000001</v>
      </c>
      <c r="F30" s="181">
        <v>131137.20000000001</v>
      </c>
      <c r="G30" s="182">
        <f t="shared" si="10"/>
        <v>169672.8</v>
      </c>
    </row>
    <row r="31" spans="1:7" x14ac:dyDescent="0.25">
      <c r="A31" s="83" t="s">
        <v>307</v>
      </c>
      <c r="B31" s="181">
        <v>7000</v>
      </c>
      <c r="C31" s="181">
        <v>608000</v>
      </c>
      <c r="D31" s="182">
        <f t="shared" si="9"/>
        <v>615000</v>
      </c>
      <c r="E31" s="181">
        <v>22040</v>
      </c>
      <c r="F31" s="181">
        <v>22040</v>
      </c>
      <c r="G31" s="182">
        <f t="shared" si="10"/>
        <v>592960</v>
      </c>
    </row>
    <row r="32" spans="1:7" x14ac:dyDescent="0.25">
      <c r="A32" s="83" t="s">
        <v>308</v>
      </c>
      <c r="B32" s="181">
        <v>290000</v>
      </c>
      <c r="C32" s="181">
        <v>-25250.75</v>
      </c>
      <c r="D32" s="182">
        <f t="shared" si="9"/>
        <v>264749.25</v>
      </c>
      <c r="E32" s="181">
        <v>205143.55</v>
      </c>
      <c r="F32" s="181">
        <v>205143.55</v>
      </c>
      <c r="G32" s="182">
        <f t="shared" si="10"/>
        <v>59605.700000000012</v>
      </c>
    </row>
    <row r="33" spans="1:7" x14ac:dyDescent="0.25">
      <c r="A33" s="83" t="s">
        <v>309</v>
      </c>
      <c r="B33" s="181">
        <v>1091900</v>
      </c>
      <c r="C33" s="181">
        <v>822796.84</v>
      </c>
      <c r="D33" s="182">
        <f t="shared" si="9"/>
        <v>1914696.8399999999</v>
      </c>
      <c r="E33" s="181">
        <v>1112168.6000000001</v>
      </c>
      <c r="F33" s="181">
        <v>1112168.6000000001</v>
      </c>
      <c r="G33" s="182">
        <f t="shared" si="10"/>
        <v>802528.23999999976</v>
      </c>
    </row>
    <row r="34" spans="1:7" x14ac:dyDescent="0.25">
      <c r="A34" s="83" t="s">
        <v>310</v>
      </c>
      <c r="B34" s="181">
        <v>328000</v>
      </c>
      <c r="C34" s="181">
        <v>-100000</v>
      </c>
      <c r="D34" s="182">
        <f t="shared" si="9"/>
        <v>228000</v>
      </c>
      <c r="E34" s="181">
        <v>134824.06</v>
      </c>
      <c r="F34" s="181">
        <v>134824.06</v>
      </c>
      <c r="G34" s="182">
        <f t="shared" si="10"/>
        <v>93175.94</v>
      </c>
    </row>
    <row r="35" spans="1:7" x14ac:dyDescent="0.25">
      <c r="A35" s="83" t="s">
        <v>311</v>
      </c>
      <c r="B35" s="181">
        <v>447000</v>
      </c>
      <c r="C35" s="181">
        <v>348011.55</v>
      </c>
      <c r="D35" s="182">
        <f t="shared" si="9"/>
        <v>795011.55</v>
      </c>
      <c r="E35" s="181">
        <v>520331.75</v>
      </c>
      <c r="F35" s="181">
        <v>520331.75</v>
      </c>
      <c r="G35" s="182">
        <f t="shared" si="10"/>
        <v>274679.80000000005</v>
      </c>
    </row>
    <row r="36" spans="1:7" x14ac:dyDescent="0.25">
      <c r="A36" s="83" t="s">
        <v>312</v>
      </c>
      <c r="B36" s="181">
        <v>6125000</v>
      </c>
      <c r="C36" s="181">
        <v>3066915.45</v>
      </c>
      <c r="D36" s="182">
        <f t="shared" si="9"/>
        <v>9191915.4499999993</v>
      </c>
      <c r="E36" s="181">
        <v>3841629.72</v>
      </c>
      <c r="F36" s="181">
        <v>3841629.72</v>
      </c>
      <c r="G36" s="182">
        <f t="shared" si="10"/>
        <v>5350285.7299999986</v>
      </c>
    </row>
    <row r="37" spans="1:7" x14ac:dyDescent="0.25">
      <c r="A37" s="83" t="s">
        <v>313</v>
      </c>
      <c r="B37" s="181">
        <v>668810.42000000004</v>
      </c>
      <c r="C37" s="181">
        <v>-476</v>
      </c>
      <c r="D37" s="182">
        <f t="shared" si="9"/>
        <v>668334.42000000004</v>
      </c>
      <c r="E37" s="181">
        <v>547724</v>
      </c>
      <c r="F37" s="181">
        <v>547724</v>
      </c>
      <c r="G37" s="182">
        <f t="shared" si="10"/>
        <v>120610.42000000004</v>
      </c>
    </row>
    <row r="38" spans="1:7" x14ac:dyDescent="0.25">
      <c r="A38" s="82" t="s">
        <v>314</v>
      </c>
      <c r="B38" s="79">
        <f>SUM(B39:B47)</f>
        <v>8013070.0999999996</v>
      </c>
      <c r="C38" s="79">
        <f t="shared" ref="C38:G38" si="11">SUM(C39:C47)</f>
        <v>3311538.39</v>
      </c>
      <c r="D38" s="79">
        <f t="shared" si="11"/>
        <v>11324608.49</v>
      </c>
      <c r="E38" s="79">
        <f t="shared" si="11"/>
        <v>7965254.0600000005</v>
      </c>
      <c r="F38" s="79">
        <f t="shared" si="11"/>
        <v>7965254.0600000005</v>
      </c>
      <c r="G38" s="79">
        <f t="shared" si="11"/>
        <v>3359354.43</v>
      </c>
    </row>
    <row r="39" spans="1:7" x14ac:dyDescent="0.25">
      <c r="A39" s="83" t="s">
        <v>315</v>
      </c>
      <c r="B39" s="182">
        <v>0</v>
      </c>
      <c r="C39" s="182"/>
      <c r="D39" s="182">
        <f t="shared" ref="D39:D47" si="12">B39+C39</f>
        <v>0</v>
      </c>
      <c r="E39" s="182"/>
      <c r="F39" s="182"/>
      <c r="G39" s="182">
        <f t="shared" ref="G39:G47" si="13">D39-E39</f>
        <v>0</v>
      </c>
    </row>
    <row r="40" spans="1:7" x14ac:dyDescent="0.25">
      <c r="A40" s="83" t="s">
        <v>316</v>
      </c>
      <c r="B40" s="181">
        <v>6050000</v>
      </c>
      <c r="C40" s="181">
        <v>0</v>
      </c>
      <c r="D40" s="182">
        <f t="shared" si="12"/>
        <v>6050000</v>
      </c>
      <c r="E40" s="181">
        <v>4617500.03</v>
      </c>
      <c r="F40" s="181">
        <v>4617500.03</v>
      </c>
      <c r="G40" s="182">
        <f t="shared" si="13"/>
        <v>1432499.9699999997</v>
      </c>
    </row>
    <row r="41" spans="1:7" x14ac:dyDescent="0.25">
      <c r="A41" s="83" t="s">
        <v>317</v>
      </c>
      <c r="B41" s="182">
        <v>0</v>
      </c>
      <c r="C41" s="182">
        <v>0</v>
      </c>
      <c r="D41" s="182">
        <f t="shared" si="12"/>
        <v>0</v>
      </c>
      <c r="E41" s="182">
        <v>0</v>
      </c>
      <c r="F41" s="182">
        <v>0</v>
      </c>
      <c r="G41" s="182">
        <f t="shared" si="13"/>
        <v>0</v>
      </c>
    </row>
    <row r="42" spans="1:7" x14ac:dyDescent="0.25">
      <c r="A42" s="83" t="s">
        <v>318</v>
      </c>
      <c r="B42" s="181">
        <v>1963070.1</v>
      </c>
      <c r="C42" s="181">
        <v>3311538.39</v>
      </c>
      <c r="D42" s="182">
        <f t="shared" si="12"/>
        <v>5274608.49</v>
      </c>
      <c r="E42" s="181">
        <v>3347754.03</v>
      </c>
      <c r="F42" s="181">
        <v>3347754.03</v>
      </c>
      <c r="G42" s="182">
        <f t="shared" si="13"/>
        <v>1926854.4600000004</v>
      </c>
    </row>
    <row r="43" spans="1:7" x14ac:dyDescent="0.25">
      <c r="A43" s="83" t="s">
        <v>319</v>
      </c>
      <c r="B43" s="182">
        <v>0</v>
      </c>
      <c r="C43" s="182">
        <v>0</v>
      </c>
      <c r="D43" s="182">
        <f t="shared" si="12"/>
        <v>0</v>
      </c>
      <c r="E43" s="182">
        <v>0</v>
      </c>
      <c r="F43" s="182">
        <v>0</v>
      </c>
      <c r="G43" s="182">
        <f t="shared" si="13"/>
        <v>0</v>
      </c>
    </row>
    <row r="44" spans="1:7" x14ac:dyDescent="0.25">
      <c r="A44" s="83" t="s">
        <v>320</v>
      </c>
      <c r="B44" s="182">
        <v>0</v>
      </c>
      <c r="C44" s="182">
        <v>0</v>
      </c>
      <c r="D44" s="182">
        <f t="shared" si="12"/>
        <v>0</v>
      </c>
      <c r="E44" s="182">
        <v>0</v>
      </c>
      <c r="F44" s="182">
        <v>0</v>
      </c>
      <c r="G44" s="182">
        <f t="shared" si="13"/>
        <v>0</v>
      </c>
    </row>
    <row r="45" spans="1:7" x14ac:dyDescent="0.25">
      <c r="A45" s="83" t="s">
        <v>321</v>
      </c>
      <c r="B45" s="182">
        <v>0</v>
      </c>
      <c r="C45" s="182">
        <v>0</v>
      </c>
      <c r="D45" s="182">
        <f t="shared" si="12"/>
        <v>0</v>
      </c>
      <c r="E45" s="182">
        <v>0</v>
      </c>
      <c r="F45" s="182">
        <v>0</v>
      </c>
      <c r="G45" s="182">
        <f t="shared" si="13"/>
        <v>0</v>
      </c>
    </row>
    <row r="46" spans="1:7" x14ac:dyDescent="0.25">
      <c r="A46" s="83" t="s">
        <v>322</v>
      </c>
      <c r="B46" s="182">
        <v>0</v>
      </c>
      <c r="C46" s="182">
        <v>0</v>
      </c>
      <c r="D46" s="182">
        <f t="shared" si="12"/>
        <v>0</v>
      </c>
      <c r="E46" s="182">
        <v>0</v>
      </c>
      <c r="F46" s="182">
        <v>0</v>
      </c>
      <c r="G46" s="182">
        <f t="shared" si="13"/>
        <v>0</v>
      </c>
    </row>
    <row r="47" spans="1:7" x14ac:dyDescent="0.25">
      <c r="A47" s="83" t="s">
        <v>323</v>
      </c>
      <c r="B47" s="182">
        <v>0</v>
      </c>
      <c r="C47" s="182">
        <v>0</v>
      </c>
      <c r="D47" s="182">
        <f t="shared" si="12"/>
        <v>0</v>
      </c>
      <c r="E47" s="182">
        <v>0</v>
      </c>
      <c r="F47" s="182">
        <v>0</v>
      </c>
      <c r="G47" s="182">
        <f t="shared" si="13"/>
        <v>0</v>
      </c>
    </row>
    <row r="48" spans="1:7" x14ac:dyDescent="0.25">
      <c r="A48" s="82" t="s">
        <v>324</v>
      </c>
      <c r="B48" s="161">
        <f>B49+B50+B54+B57</f>
        <v>342000.08</v>
      </c>
      <c r="C48" s="162">
        <f t="shared" ref="C48:G48" si="14">SUM(C49:C57)</f>
        <v>1713299</v>
      </c>
      <c r="D48" s="164">
        <f t="shared" si="14"/>
        <v>2055299.08</v>
      </c>
      <c r="E48" s="164">
        <f t="shared" si="14"/>
        <v>91181.5</v>
      </c>
      <c r="F48" s="164">
        <f t="shared" si="14"/>
        <v>91181.5</v>
      </c>
      <c r="G48" s="164">
        <f t="shared" si="14"/>
        <v>1964117.58</v>
      </c>
    </row>
    <row r="49" spans="1:7" x14ac:dyDescent="0.25">
      <c r="A49" s="83" t="s">
        <v>325</v>
      </c>
      <c r="B49" s="181">
        <v>275000</v>
      </c>
      <c r="C49" s="181">
        <v>-16701</v>
      </c>
      <c r="D49" s="182">
        <f t="shared" ref="D49:D57" si="15">B49+C49</f>
        <v>258299</v>
      </c>
      <c r="E49" s="181">
        <v>77131.5</v>
      </c>
      <c r="F49" s="181">
        <v>77131.5</v>
      </c>
      <c r="G49" s="182">
        <f t="shared" ref="G49:G57" si="16">D49-E49</f>
        <v>181167.5</v>
      </c>
    </row>
    <row r="50" spans="1:7" x14ac:dyDescent="0.25">
      <c r="A50" s="83" t="s">
        <v>326</v>
      </c>
      <c r="B50" s="181">
        <v>19000</v>
      </c>
      <c r="C50" s="181">
        <v>25000</v>
      </c>
      <c r="D50" s="182">
        <f t="shared" si="15"/>
        <v>44000</v>
      </c>
      <c r="E50" s="181">
        <v>14050</v>
      </c>
      <c r="F50" s="181">
        <v>14050</v>
      </c>
      <c r="G50" s="182">
        <f t="shared" si="16"/>
        <v>29950</v>
      </c>
    </row>
    <row r="51" spans="1:7" x14ac:dyDescent="0.25">
      <c r="A51" s="83" t="s">
        <v>327</v>
      </c>
      <c r="B51" s="182"/>
      <c r="C51" s="182"/>
      <c r="D51" s="182">
        <f t="shared" si="15"/>
        <v>0</v>
      </c>
      <c r="E51" s="182"/>
      <c r="F51" s="182"/>
      <c r="G51" s="182">
        <f t="shared" si="16"/>
        <v>0</v>
      </c>
    </row>
    <row r="52" spans="1:7" x14ac:dyDescent="0.25">
      <c r="A52" s="83" t="s">
        <v>328</v>
      </c>
      <c r="B52" s="181">
        <v>0</v>
      </c>
      <c r="C52" s="181">
        <v>700000</v>
      </c>
      <c r="D52" s="182">
        <f t="shared" si="15"/>
        <v>700000</v>
      </c>
      <c r="E52" s="181">
        <v>0</v>
      </c>
      <c r="F52" s="181">
        <v>0</v>
      </c>
      <c r="G52" s="182">
        <f t="shared" si="16"/>
        <v>700000</v>
      </c>
    </row>
    <row r="53" spans="1:7" x14ac:dyDescent="0.25">
      <c r="A53" s="83" t="s">
        <v>329</v>
      </c>
      <c r="B53" s="182"/>
      <c r="C53" s="182"/>
      <c r="D53" s="182">
        <f t="shared" si="15"/>
        <v>0</v>
      </c>
      <c r="E53" s="182"/>
      <c r="F53" s="182"/>
      <c r="G53" s="182">
        <f t="shared" si="16"/>
        <v>0</v>
      </c>
    </row>
    <row r="54" spans="1:7" x14ac:dyDescent="0.25">
      <c r="A54" s="83" t="s">
        <v>330</v>
      </c>
      <c r="B54" s="181">
        <v>41000.080000000002</v>
      </c>
      <c r="C54" s="181">
        <v>5000</v>
      </c>
      <c r="D54" s="182">
        <f t="shared" si="15"/>
        <v>46000.08</v>
      </c>
      <c r="E54" s="181">
        <v>0</v>
      </c>
      <c r="F54" s="181">
        <v>0</v>
      </c>
      <c r="G54" s="182">
        <f t="shared" si="16"/>
        <v>46000.08</v>
      </c>
    </row>
    <row r="55" spans="1:7" x14ac:dyDescent="0.25">
      <c r="A55" s="83" t="s">
        <v>331</v>
      </c>
      <c r="B55" s="182"/>
      <c r="C55" s="182"/>
      <c r="D55" s="182">
        <f t="shared" si="15"/>
        <v>0</v>
      </c>
      <c r="E55" s="182"/>
      <c r="F55" s="182"/>
      <c r="G55" s="182">
        <f t="shared" si="16"/>
        <v>0</v>
      </c>
    </row>
    <row r="56" spans="1:7" x14ac:dyDescent="0.25">
      <c r="A56" s="83" t="s">
        <v>332</v>
      </c>
      <c r="B56" s="181">
        <v>0</v>
      </c>
      <c r="C56" s="181">
        <v>1000000</v>
      </c>
      <c r="D56" s="182">
        <f t="shared" si="15"/>
        <v>1000000</v>
      </c>
      <c r="E56" s="181">
        <v>0</v>
      </c>
      <c r="F56" s="181">
        <v>0</v>
      </c>
      <c r="G56" s="182">
        <f t="shared" si="16"/>
        <v>1000000</v>
      </c>
    </row>
    <row r="57" spans="1:7" x14ac:dyDescent="0.25">
      <c r="A57" s="83" t="s">
        <v>333</v>
      </c>
      <c r="B57" s="181">
        <v>7000</v>
      </c>
      <c r="C57" s="181">
        <v>0</v>
      </c>
      <c r="D57" s="182">
        <f t="shared" si="15"/>
        <v>7000</v>
      </c>
      <c r="E57" s="181">
        <v>0</v>
      </c>
      <c r="F57" s="181">
        <v>0</v>
      </c>
      <c r="G57" s="182">
        <f t="shared" si="16"/>
        <v>7000</v>
      </c>
    </row>
    <row r="58" spans="1:7" x14ac:dyDescent="0.25">
      <c r="A58" s="82" t="s">
        <v>334</v>
      </c>
      <c r="B58" s="157"/>
      <c r="C58" s="157">
        <f t="shared" ref="C58:G58" si="17">SUM(C59:C61)</f>
        <v>467928.36</v>
      </c>
      <c r="D58" s="157">
        <f t="shared" si="17"/>
        <v>467928.36</v>
      </c>
      <c r="E58" s="157">
        <f t="shared" si="17"/>
        <v>467928.36</v>
      </c>
      <c r="F58" s="157">
        <f t="shared" si="17"/>
        <v>467928.36</v>
      </c>
      <c r="G58" s="157">
        <f t="shared" si="17"/>
        <v>0</v>
      </c>
    </row>
    <row r="59" spans="1:7" x14ac:dyDescent="0.25">
      <c r="A59" s="83" t="s">
        <v>335</v>
      </c>
      <c r="B59" s="181">
        <v>0</v>
      </c>
      <c r="C59" s="181">
        <v>467928.36</v>
      </c>
      <c r="D59" s="182">
        <f t="shared" ref="D59:D61" si="18">B59+C59</f>
        <v>467928.36</v>
      </c>
      <c r="E59" s="181">
        <v>467928.36</v>
      </c>
      <c r="F59" s="181">
        <v>467928.36</v>
      </c>
      <c r="G59" s="182">
        <f t="shared" ref="G59:G61" si="19">D59-E59</f>
        <v>0</v>
      </c>
    </row>
    <row r="60" spans="1:7" x14ac:dyDescent="0.25">
      <c r="A60" s="83" t="s">
        <v>336</v>
      </c>
      <c r="B60" s="182">
        <v>0</v>
      </c>
      <c r="C60" s="182">
        <v>0</v>
      </c>
      <c r="D60" s="182">
        <f t="shared" si="18"/>
        <v>0</v>
      </c>
      <c r="E60" s="182">
        <v>0</v>
      </c>
      <c r="F60" s="182">
        <v>0</v>
      </c>
      <c r="G60" s="182">
        <f t="shared" si="19"/>
        <v>0</v>
      </c>
    </row>
    <row r="61" spans="1:7" x14ac:dyDescent="0.25">
      <c r="A61" s="83" t="s">
        <v>337</v>
      </c>
      <c r="B61" s="182">
        <v>0</v>
      </c>
      <c r="C61" s="182">
        <v>0</v>
      </c>
      <c r="D61" s="182">
        <f t="shared" si="18"/>
        <v>0</v>
      </c>
      <c r="E61" s="182">
        <v>0</v>
      </c>
      <c r="F61" s="182">
        <v>0</v>
      </c>
      <c r="G61" s="182">
        <f t="shared" si="19"/>
        <v>0</v>
      </c>
    </row>
    <row r="62" spans="1:7" x14ac:dyDescent="0.25">
      <c r="A62" s="82" t="s">
        <v>338</v>
      </c>
      <c r="B62" s="79">
        <f>SUM(B63:B67,B69:B70)</f>
        <v>2000000</v>
      </c>
      <c r="C62" s="79">
        <f t="shared" ref="C62:G62" si="20">SUM(C63:C67,C69:C70)</f>
        <v>-1880000</v>
      </c>
      <c r="D62" s="79">
        <f t="shared" si="20"/>
        <v>120000</v>
      </c>
      <c r="E62" s="79">
        <f t="shared" si="20"/>
        <v>0</v>
      </c>
      <c r="F62" s="79">
        <f t="shared" si="20"/>
        <v>0</v>
      </c>
      <c r="G62" s="79">
        <f t="shared" si="20"/>
        <v>120000</v>
      </c>
    </row>
    <row r="63" spans="1:7" x14ac:dyDescent="0.25">
      <c r="A63" s="83" t="s">
        <v>339</v>
      </c>
      <c r="B63" s="182">
        <v>0</v>
      </c>
      <c r="C63" s="182">
        <v>0</v>
      </c>
      <c r="D63" s="182">
        <f t="shared" ref="D63:D70" si="21">B63+C63</f>
        <v>0</v>
      </c>
      <c r="E63" s="182">
        <v>0</v>
      </c>
      <c r="F63" s="182">
        <v>0</v>
      </c>
      <c r="G63" s="182">
        <f t="shared" ref="G63:G70" si="22">D63-E63</f>
        <v>0</v>
      </c>
    </row>
    <row r="64" spans="1:7" x14ac:dyDescent="0.25">
      <c r="A64" s="83" t="s">
        <v>340</v>
      </c>
      <c r="B64" s="182">
        <v>0</v>
      </c>
      <c r="C64" s="182">
        <v>0</v>
      </c>
      <c r="D64" s="182">
        <f t="shared" si="21"/>
        <v>0</v>
      </c>
      <c r="E64" s="182">
        <v>0</v>
      </c>
      <c r="F64" s="182">
        <v>0</v>
      </c>
      <c r="G64" s="182">
        <f t="shared" si="22"/>
        <v>0</v>
      </c>
    </row>
    <row r="65" spans="1:7" x14ac:dyDescent="0.25">
      <c r="A65" s="83" t="s">
        <v>341</v>
      </c>
      <c r="B65" s="182">
        <v>0</v>
      </c>
      <c r="C65" s="182">
        <v>0</v>
      </c>
      <c r="D65" s="182">
        <f t="shared" si="21"/>
        <v>0</v>
      </c>
      <c r="E65" s="182">
        <v>0</v>
      </c>
      <c r="F65" s="182">
        <v>0</v>
      </c>
      <c r="G65" s="182">
        <f t="shared" si="22"/>
        <v>0</v>
      </c>
    </row>
    <row r="66" spans="1:7" x14ac:dyDescent="0.25">
      <c r="A66" s="83" t="s">
        <v>342</v>
      </c>
      <c r="B66" s="182">
        <v>0</v>
      </c>
      <c r="C66" s="182">
        <v>0</v>
      </c>
      <c r="D66" s="182">
        <f t="shared" si="21"/>
        <v>0</v>
      </c>
      <c r="E66" s="182">
        <v>0</v>
      </c>
      <c r="F66" s="182">
        <v>0</v>
      </c>
      <c r="G66" s="182">
        <f t="shared" si="22"/>
        <v>0</v>
      </c>
    </row>
    <row r="67" spans="1:7" x14ac:dyDescent="0.25">
      <c r="A67" s="83" t="s">
        <v>343</v>
      </c>
      <c r="B67" s="182">
        <v>0</v>
      </c>
      <c r="C67" s="182">
        <v>0</v>
      </c>
      <c r="D67" s="182">
        <f t="shared" si="21"/>
        <v>0</v>
      </c>
      <c r="E67" s="182">
        <v>0</v>
      </c>
      <c r="F67" s="182">
        <v>0</v>
      </c>
      <c r="G67" s="182">
        <f t="shared" si="22"/>
        <v>0</v>
      </c>
    </row>
    <row r="68" spans="1:7" x14ac:dyDescent="0.25">
      <c r="A68" s="83" t="s">
        <v>3301</v>
      </c>
      <c r="B68" s="182">
        <v>0</v>
      </c>
      <c r="C68" s="182">
        <v>0</v>
      </c>
      <c r="D68" s="182">
        <f t="shared" si="21"/>
        <v>0</v>
      </c>
      <c r="E68" s="182">
        <v>0</v>
      </c>
      <c r="F68" s="182">
        <v>0</v>
      </c>
      <c r="G68" s="182">
        <f t="shared" si="22"/>
        <v>0</v>
      </c>
    </row>
    <row r="69" spans="1:7" x14ac:dyDescent="0.25">
      <c r="A69" s="83" t="s">
        <v>345</v>
      </c>
      <c r="B69" s="182">
        <v>0</v>
      </c>
      <c r="C69" s="182">
        <v>0</v>
      </c>
      <c r="D69" s="182">
        <f t="shared" si="21"/>
        <v>0</v>
      </c>
      <c r="E69" s="182">
        <v>0</v>
      </c>
      <c r="F69" s="182">
        <v>0</v>
      </c>
      <c r="G69" s="182">
        <f t="shared" si="22"/>
        <v>0</v>
      </c>
    </row>
    <row r="70" spans="1:7" x14ac:dyDescent="0.25">
      <c r="A70" s="83" t="s">
        <v>346</v>
      </c>
      <c r="B70" s="181">
        <v>2000000</v>
      </c>
      <c r="C70" s="181">
        <v>-1880000</v>
      </c>
      <c r="D70" s="182">
        <f t="shared" si="21"/>
        <v>120000</v>
      </c>
      <c r="E70" s="181">
        <v>0</v>
      </c>
      <c r="F70" s="182">
        <v>0</v>
      </c>
      <c r="G70" s="182">
        <f t="shared" si="22"/>
        <v>120000</v>
      </c>
    </row>
    <row r="71" spans="1:7" x14ac:dyDescent="0.25">
      <c r="A71" s="82" t="s">
        <v>347</v>
      </c>
      <c r="B71" s="79">
        <f>SUM(B72:B74)</f>
        <v>0</v>
      </c>
      <c r="C71" s="79">
        <f t="shared" ref="C71:G71" si="23">SUM(C72:C74)</f>
        <v>500000</v>
      </c>
      <c r="D71" s="79">
        <f t="shared" si="23"/>
        <v>500000</v>
      </c>
      <c r="E71" s="79">
        <f t="shared" si="23"/>
        <v>500000</v>
      </c>
      <c r="F71" s="79">
        <f t="shared" si="23"/>
        <v>500000</v>
      </c>
      <c r="G71" s="79">
        <f t="shared" si="23"/>
        <v>0</v>
      </c>
    </row>
    <row r="72" spans="1:7" x14ac:dyDescent="0.25">
      <c r="A72" s="83" t="s">
        <v>348</v>
      </c>
      <c r="B72" s="182">
        <v>0</v>
      </c>
      <c r="C72" s="182">
        <v>0</v>
      </c>
      <c r="D72" s="182">
        <f t="shared" ref="D72:D74" si="24">B72+C72</f>
        <v>0</v>
      </c>
      <c r="E72" s="182">
        <v>0</v>
      </c>
      <c r="F72" s="182">
        <v>0</v>
      </c>
      <c r="G72" s="182">
        <f t="shared" ref="G72:G74" si="25">D72-E72</f>
        <v>0</v>
      </c>
    </row>
    <row r="73" spans="1:7" x14ac:dyDescent="0.25">
      <c r="A73" s="83" t="s">
        <v>349</v>
      </c>
      <c r="B73" s="182">
        <v>0</v>
      </c>
      <c r="C73" s="182">
        <v>0</v>
      </c>
      <c r="D73" s="182">
        <f t="shared" si="24"/>
        <v>0</v>
      </c>
      <c r="E73" s="182">
        <v>0</v>
      </c>
      <c r="F73" s="182">
        <v>0</v>
      </c>
      <c r="G73" s="182">
        <f t="shared" si="25"/>
        <v>0</v>
      </c>
    </row>
    <row r="74" spans="1:7" x14ac:dyDescent="0.25">
      <c r="A74" s="83" t="s">
        <v>350</v>
      </c>
      <c r="B74" s="181">
        <v>0</v>
      </c>
      <c r="C74" s="181">
        <v>500000</v>
      </c>
      <c r="D74" s="182">
        <f t="shared" si="24"/>
        <v>500000</v>
      </c>
      <c r="E74" s="181">
        <v>500000</v>
      </c>
      <c r="F74" s="181">
        <v>500000</v>
      </c>
      <c r="G74" s="182">
        <f t="shared" si="25"/>
        <v>0</v>
      </c>
    </row>
    <row r="75" spans="1:7" x14ac:dyDescent="0.25">
      <c r="A75" s="82" t="s">
        <v>351</v>
      </c>
      <c r="B75" s="79">
        <f>SUM(B76:B82)</f>
        <v>0</v>
      </c>
      <c r="C75" s="79">
        <f t="shared" ref="C75:G75" si="26">SUM(C76:C82)</f>
        <v>2025480</v>
      </c>
      <c r="D75" s="79">
        <f t="shared" si="26"/>
        <v>2025480</v>
      </c>
      <c r="E75" s="79">
        <f t="shared" si="26"/>
        <v>2025480</v>
      </c>
      <c r="F75" s="79">
        <f t="shared" si="26"/>
        <v>2025480</v>
      </c>
      <c r="G75" s="79">
        <f t="shared" si="26"/>
        <v>0</v>
      </c>
    </row>
    <row r="76" spans="1:7" x14ac:dyDescent="0.25">
      <c r="A76" s="83" t="s">
        <v>352</v>
      </c>
      <c r="B76" s="181">
        <v>0</v>
      </c>
      <c r="C76" s="181">
        <v>2000000</v>
      </c>
      <c r="D76" s="182">
        <f t="shared" ref="D76:D82" si="27">B76+C76</f>
        <v>2000000</v>
      </c>
      <c r="E76" s="181">
        <v>2000000</v>
      </c>
      <c r="F76" s="181">
        <v>2000000</v>
      </c>
      <c r="G76" s="182">
        <f t="shared" ref="G76:G82" si="28">D76-E76</f>
        <v>0</v>
      </c>
    </row>
    <row r="77" spans="1:7" x14ac:dyDescent="0.25">
      <c r="A77" s="83" t="s">
        <v>353</v>
      </c>
      <c r="B77" s="181">
        <v>0</v>
      </c>
      <c r="C77" s="181">
        <v>25480</v>
      </c>
      <c r="D77" s="182">
        <f t="shared" si="27"/>
        <v>25480</v>
      </c>
      <c r="E77" s="181">
        <v>25480</v>
      </c>
      <c r="F77" s="181">
        <v>25480</v>
      </c>
      <c r="G77" s="182">
        <f t="shared" si="28"/>
        <v>0</v>
      </c>
    </row>
    <row r="78" spans="1:7" x14ac:dyDescent="0.25">
      <c r="A78" s="83" t="s">
        <v>354</v>
      </c>
      <c r="B78" s="182">
        <v>0</v>
      </c>
      <c r="C78" s="182">
        <v>0</v>
      </c>
      <c r="D78" s="182">
        <f t="shared" si="27"/>
        <v>0</v>
      </c>
      <c r="E78" s="182">
        <v>0</v>
      </c>
      <c r="F78" s="182">
        <v>0</v>
      </c>
      <c r="G78" s="182">
        <f t="shared" si="28"/>
        <v>0</v>
      </c>
    </row>
    <row r="79" spans="1:7" x14ac:dyDescent="0.25">
      <c r="A79" s="83" t="s">
        <v>355</v>
      </c>
      <c r="B79" s="182">
        <v>0</v>
      </c>
      <c r="C79" s="182">
        <v>0</v>
      </c>
      <c r="D79" s="182">
        <f t="shared" si="27"/>
        <v>0</v>
      </c>
      <c r="E79" s="182">
        <v>0</v>
      </c>
      <c r="F79" s="182">
        <v>0</v>
      </c>
      <c r="G79" s="182">
        <f t="shared" si="28"/>
        <v>0</v>
      </c>
    </row>
    <row r="80" spans="1:7" x14ac:dyDescent="0.25">
      <c r="A80" s="83" t="s">
        <v>356</v>
      </c>
      <c r="B80" s="182">
        <v>0</v>
      </c>
      <c r="C80" s="182">
        <v>0</v>
      </c>
      <c r="D80" s="182">
        <f t="shared" si="27"/>
        <v>0</v>
      </c>
      <c r="E80" s="182">
        <v>0</v>
      </c>
      <c r="F80" s="182">
        <v>0</v>
      </c>
      <c r="G80" s="182">
        <f t="shared" si="28"/>
        <v>0</v>
      </c>
    </row>
    <row r="81" spans="1:7" x14ac:dyDescent="0.25">
      <c r="A81" s="83" t="s">
        <v>357</v>
      </c>
      <c r="B81" s="182">
        <v>0</v>
      </c>
      <c r="C81" s="182">
        <v>0</v>
      </c>
      <c r="D81" s="182">
        <f t="shared" si="27"/>
        <v>0</v>
      </c>
      <c r="E81" s="182">
        <v>0</v>
      </c>
      <c r="F81" s="182">
        <v>0</v>
      </c>
      <c r="G81" s="182">
        <f t="shared" si="28"/>
        <v>0</v>
      </c>
    </row>
    <row r="82" spans="1:7" x14ac:dyDescent="0.25">
      <c r="A82" s="83" t="s">
        <v>358</v>
      </c>
      <c r="B82" s="182">
        <v>0</v>
      </c>
      <c r="C82" s="182">
        <v>0</v>
      </c>
      <c r="D82" s="182">
        <f t="shared" si="27"/>
        <v>0</v>
      </c>
      <c r="E82" s="182">
        <v>0</v>
      </c>
      <c r="F82" s="182">
        <v>0</v>
      </c>
      <c r="G82" s="182">
        <f t="shared" si="28"/>
        <v>0</v>
      </c>
    </row>
    <row r="83" spans="1:7" x14ac:dyDescent="0.25">
      <c r="A83" s="84"/>
      <c r="B83" s="80"/>
      <c r="C83" s="80"/>
      <c r="D83" s="80"/>
      <c r="E83" s="80"/>
      <c r="F83" s="80"/>
      <c r="G83" s="80"/>
    </row>
    <row r="84" spans="1:7" x14ac:dyDescent="0.25">
      <c r="A84" s="85" t="s">
        <v>359</v>
      </c>
      <c r="B84" s="78">
        <f>SUM(B85,B93,B103,B113,B123,B133,B137,B146,B150)</f>
        <v>38900000</v>
      </c>
      <c r="C84" s="78">
        <f t="shared" ref="C84:G84" si="29">SUM(C85,C93,C103,C113,C123,C133,C137,C146,C150)</f>
        <v>22431887.109999999</v>
      </c>
      <c r="D84" s="78">
        <f t="shared" si="29"/>
        <v>61331887.110000007</v>
      </c>
      <c r="E84" s="78">
        <f t="shared" si="29"/>
        <v>18498886.009999998</v>
      </c>
      <c r="F84" s="78">
        <f t="shared" si="29"/>
        <v>18423346.009999998</v>
      </c>
      <c r="G84" s="78">
        <f t="shared" si="29"/>
        <v>42833001.100000001</v>
      </c>
    </row>
    <row r="85" spans="1:7" x14ac:dyDescent="0.25">
      <c r="A85" s="82" t="s">
        <v>286</v>
      </c>
      <c r="B85" s="182">
        <f>SUM(B86:B92)</f>
        <v>8475223.7400000002</v>
      </c>
      <c r="C85" s="182">
        <f t="shared" ref="C85:G85" si="30">SUM(C86:C92)</f>
        <v>977118.8</v>
      </c>
      <c r="D85" s="182">
        <f t="shared" si="30"/>
        <v>9452342.5399999991</v>
      </c>
      <c r="E85" s="182">
        <f t="shared" si="30"/>
        <v>5257315.3299999991</v>
      </c>
      <c r="F85" s="182">
        <f t="shared" si="30"/>
        <v>5181775.3299999991</v>
      </c>
      <c r="G85" s="182">
        <f t="shared" si="30"/>
        <v>4195027.21</v>
      </c>
    </row>
    <row r="86" spans="1:7" x14ac:dyDescent="0.25">
      <c r="A86" s="83" t="s">
        <v>287</v>
      </c>
      <c r="B86" s="181">
        <v>6489019.0800000001</v>
      </c>
      <c r="C86" s="181">
        <v>385593.8</v>
      </c>
      <c r="D86" s="182">
        <f t="shared" ref="D86:D92" si="31">B86+C86</f>
        <v>6874612.8799999999</v>
      </c>
      <c r="E86" s="181">
        <v>4943999.0599999996</v>
      </c>
      <c r="F86" s="181">
        <v>4943999.0599999996</v>
      </c>
      <c r="G86" s="182">
        <f t="shared" ref="G86:G92" si="32">D86-E86</f>
        <v>1930613.8200000003</v>
      </c>
    </row>
    <row r="87" spans="1:7" x14ac:dyDescent="0.25">
      <c r="A87" s="83" t="s">
        <v>288</v>
      </c>
      <c r="B87" s="181">
        <v>0</v>
      </c>
      <c r="C87" s="181">
        <v>154000</v>
      </c>
      <c r="D87" s="182">
        <f t="shared" si="31"/>
        <v>154000</v>
      </c>
      <c r="E87" s="181">
        <v>52873.32</v>
      </c>
      <c r="F87" s="181">
        <v>52873.32</v>
      </c>
      <c r="G87" s="182">
        <f t="shared" si="32"/>
        <v>101126.68</v>
      </c>
    </row>
    <row r="88" spans="1:7" x14ac:dyDescent="0.25">
      <c r="A88" s="83" t="s">
        <v>289</v>
      </c>
      <c r="B88" s="181">
        <v>1095453.07</v>
      </c>
      <c r="C88" s="181">
        <v>165000</v>
      </c>
      <c r="D88" s="182">
        <f t="shared" si="31"/>
        <v>1260453.07</v>
      </c>
      <c r="E88" s="181">
        <v>85889.600000000006</v>
      </c>
      <c r="F88" s="181">
        <v>85889.600000000006</v>
      </c>
      <c r="G88" s="182">
        <f t="shared" si="32"/>
        <v>1174563.47</v>
      </c>
    </row>
    <row r="89" spans="1:7" x14ac:dyDescent="0.25">
      <c r="A89" s="83" t="s">
        <v>290</v>
      </c>
      <c r="B89" s="181">
        <v>350000</v>
      </c>
      <c r="C89" s="181">
        <v>-100000</v>
      </c>
      <c r="D89" s="182">
        <f t="shared" si="31"/>
        <v>250000</v>
      </c>
      <c r="E89" s="181">
        <v>0</v>
      </c>
      <c r="F89" s="181">
        <v>0</v>
      </c>
      <c r="G89" s="182">
        <f t="shared" si="32"/>
        <v>250000</v>
      </c>
    </row>
    <row r="90" spans="1:7" x14ac:dyDescent="0.25">
      <c r="A90" s="83" t="s">
        <v>291</v>
      </c>
      <c r="B90" s="181">
        <v>540751.59</v>
      </c>
      <c r="C90" s="181">
        <v>372525</v>
      </c>
      <c r="D90" s="182">
        <f t="shared" si="31"/>
        <v>913276.59</v>
      </c>
      <c r="E90" s="181">
        <v>174553.35</v>
      </c>
      <c r="F90" s="181">
        <v>99013.35</v>
      </c>
      <c r="G90" s="182">
        <f t="shared" si="32"/>
        <v>738723.24</v>
      </c>
    </row>
    <row r="91" spans="1:7" x14ac:dyDescent="0.25">
      <c r="A91" s="83" t="s">
        <v>292</v>
      </c>
      <c r="B91" s="182">
        <v>0</v>
      </c>
      <c r="C91" s="182">
        <v>0</v>
      </c>
      <c r="D91" s="182">
        <f t="shared" si="31"/>
        <v>0</v>
      </c>
      <c r="E91" s="182">
        <v>0</v>
      </c>
      <c r="F91" s="182">
        <v>0</v>
      </c>
      <c r="G91" s="182">
        <f t="shared" si="32"/>
        <v>0</v>
      </c>
    </row>
    <row r="92" spans="1:7" x14ac:dyDescent="0.25">
      <c r="A92" s="83" t="s">
        <v>293</v>
      </c>
      <c r="B92" s="182">
        <v>0</v>
      </c>
      <c r="C92" s="182">
        <v>0</v>
      </c>
      <c r="D92" s="182">
        <f t="shared" si="31"/>
        <v>0</v>
      </c>
      <c r="E92" s="182">
        <v>0</v>
      </c>
      <c r="F92" s="182">
        <v>0</v>
      </c>
      <c r="G92" s="182">
        <f t="shared" si="32"/>
        <v>0</v>
      </c>
    </row>
    <row r="93" spans="1:7" x14ac:dyDescent="0.25">
      <c r="A93" s="82" t="s">
        <v>294</v>
      </c>
      <c r="B93" s="79">
        <f>SUM(B94:B102)</f>
        <v>1961000</v>
      </c>
      <c r="C93" s="79">
        <f t="shared" ref="C93:G93" si="33">SUM(C94:C102)</f>
        <v>2257743.0299999998</v>
      </c>
      <c r="D93" s="79">
        <f t="shared" si="33"/>
        <v>4218743.0299999993</v>
      </c>
      <c r="E93" s="79">
        <f t="shared" si="33"/>
        <v>2271885.36</v>
      </c>
      <c r="F93" s="79">
        <f t="shared" si="33"/>
        <v>2271885.36</v>
      </c>
      <c r="G93" s="79">
        <f t="shared" si="33"/>
        <v>1946857.67</v>
      </c>
    </row>
    <row r="94" spans="1:7" x14ac:dyDescent="0.25">
      <c r="A94" s="83" t="s">
        <v>295</v>
      </c>
      <c r="B94" s="181">
        <v>49000</v>
      </c>
      <c r="C94" s="181">
        <v>18000</v>
      </c>
      <c r="D94" s="182">
        <f t="shared" ref="D94:D102" si="34">B94+C94</f>
        <v>67000</v>
      </c>
      <c r="E94" s="181">
        <v>12509.91</v>
      </c>
      <c r="F94" s="181">
        <v>12509.91</v>
      </c>
      <c r="G94" s="182">
        <f t="shared" ref="G94:G102" si="35">D94-E94</f>
        <v>54490.09</v>
      </c>
    </row>
    <row r="95" spans="1:7" x14ac:dyDescent="0.25">
      <c r="A95" s="83" t="s">
        <v>296</v>
      </c>
      <c r="B95" s="181">
        <v>105000</v>
      </c>
      <c r="C95" s="181">
        <v>132200</v>
      </c>
      <c r="D95" s="182">
        <f t="shared" si="34"/>
        <v>237200</v>
      </c>
      <c r="E95" s="181">
        <v>150047.6</v>
      </c>
      <c r="F95" s="181">
        <v>150047.6</v>
      </c>
      <c r="G95" s="182">
        <f t="shared" si="35"/>
        <v>87152.4</v>
      </c>
    </row>
    <row r="96" spans="1:7" x14ac:dyDescent="0.25">
      <c r="A96" s="83" t="s">
        <v>297</v>
      </c>
      <c r="B96" s="182">
        <v>0</v>
      </c>
      <c r="C96" s="182">
        <v>0</v>
      </c>
      <c r="D96" s="182">
        <f t="shared" si="34"/>
        <v>0</v>
      </c>
      <c r="E96" s="182">
        <v>0</v>
      </c>
      <c r="F96" s="182">
        <v>0</v>
      </c>
      <c r="G96" s="182">
        <f t="shared" si="35"/>
        <v>0</v>
      </c>
    </row>
    <row r="97" spans="1:7" x14ac:dyDescent="0.25">
      <c r="A97" s="83" t="s">
        <v>298</v>
      </c>
      <c r="B97" s="181">
        <v>205000</v>
      </c>
      <c r="C97" s="181">
        <v>-50000</v>
      </c>
      <c r="D97" s="182">
        <f t="shared" si="34"/>
        <v>155000</v>
      </c>
      <c r="E97" s="181">
        <v>88899.86</v>
      </c>
      <c r="F97" s="181">
        <v>88899.86</v>
      </c>
      <c r="G97" s="182">
        <f t="shared" si="35"/>
        <v>66100.14</v>
      </c>
    </row>
    <row r="98" spans="1:7" x14ac:dyDescent="0.25">
      <c r="A98" s="42" t="s">
        <v>299</v>
      </c>
      <c r="B98" s="181">
        <v>13000</v>
      </c>
      <c r="C98" s="181">
        <v>0</v>
      </c>
      <c r="D98" s="182">
        <f t="shared" si="34"/>
        <v>13000</v>
      </c>
      <c r="E98" s="181">
        <v>1995.28</v>
      </c>
      <c r="F98" s="181">
        <v>1995.28</v>
      </c>
      <c r="G98" s="182">
        <f t="shared" si="35"/>
        <v>11004.72</v>
      </c>
    </row>
    <row r="99" spans="1:7" x14ac:dyDescent="0.25">
      <c r="A99" s="83" t="s">
        <v>300</v>
      </c>
      <c r="B99" s="181">
        <v>1360000</v>
      </c>
      <c r="C99" s="181">
        <v>2107543.0299999998</v>
      </c>
      <c r="D99" s="182">
        <f t="shared" si="34"/>
        <v>3467543.03</v>
      </c>
      <c r="E99" s="181">
        <v>1838831.08</v>
      </c>
      <c r="F99" s="181">
        <v>1838831.08</v>
      </c>
      <c r="G99" s="182">
        <f t="shared" si="35"/>
        <v>1628711.9499999997</v>
      </c>
    </row>
    <row r="100" spans="1:7" x14ac:dyDescent="0.25">
      <c r="A100" s="83" t="s">
        <v>301</v>
      </c>
      <c r="B100" s="181">
        <v>229000</v>
      </c>
      <c r="C100" s="181">
        <v>50000</v>
      </c>
      <c r="D100" s="182">
        <f t="shared" si="34"/>
        <v>279000</v>
      </c>
      <c r="E100" s="181">
        <v>179601.63</v>
      </c>
      <c r="F100" s="181">
        <v>179601.63</v>
      </c>
      <c r="G100" s="182">
        <f t="shared" si="35"/>
        <v>99398.37</v>
      </c>
    </row>
    <row r="101" spans="1:7" x14ac:dyDescent="0.25">
      <c r="A101" s="83" t="s">
        <v>302</v>
      </c>
      <c r="B101" s="182">
        <v>0</v>
      </c>
      <c r="C101" s="182">
        <v>0</v>
      </c>
      <c r="D101" s="182">
        <f t="shared" si="34"/>
        <v>0</v>
      </c>
      <c r="E101" s="182">
        <v>0</v>
      </c>
      <c r="F101" s="182">
        <v>0</v>
      </c>
      <c r="G101" s="182">
        <f t="shared" si="35"/>
        <v>0</v>
      </c>
    </row>
    <row r="102" spans="1:7" x14ac:dyDescent="0.25">
      <c r="A102" s="83" t="s">
        <v>303</v>
      </c>
      <c r="B102" s="182">
        <v>0</v>
      </c>
      <c r="C102" s="182">
        <v>0</v>
      </c>
      <c r="D102" s="182">
        <f t="shared" si="34"/>
        <v>0</v>
      </c>
      <c r="E102" s="182">
        <v>0</v>
      </c>
      <c r="F102" s="182">
        <v>0</v>
      </c>
      <c r="G102" s="182">
        <f t="shared" si="35"/>
        <v>0</v>
      </c>
    </row>
    <row r="103" spans="1:7" x14ac:dyDescent="0.25">
      <c r="A103" s="82" t="s">
        <v>304</v>
      </c>
      <c r="B103" s="79">
        <f>SUM(B104:B112)</f>
        <v>793776.26</v>
      </c>
      <c r="C103" s="79">
        <f>SUM(C104:C112)</f>
        <v>1772109.69</v>
      </c>
      <c r="D103" s="79">
        <f t="shared" ref="D103:G103" si="36">SUM(D104:D112)</f>
        <v>2565885.9499999997</v>
      </c>
      <c r="E103" s="79">
        <f t="shared" si="36"/>
        <v>797901.64999999991</v>
      </c>
      <c r="F103" s="79">
        <f t="shared" si="36"/>
        <v>797901.64999999991</v>
      </c>
      <c r="G103" s="79">
        <f t="shared" si="36"/>
        <v>1767984.3</v>
      </c>
    </row>
    <row r="104" spans="1:7" x14ac:dyDescent="0.25">
      <c r="A104" s="83" t="s">
        <v>305</v>
      </c>
      <c r="B104" s="181">
        <v>202000</v>
      </c>
      <c r="C104" s="181">
        <v>0</v>
      </c>
      <c r="D104" s="182">
        <f t="shared" ref="D104:D112" si="37">B104+C104</f>
        <v>202000</v>
      </c>
      <c r="E104" s="181">
        <v>66861</v>
      </c>
      <c r="F104" s="181">
        <v>66861</v>
      </c>
      <c r="G104" s="182">
        <f t="shared" ref="G104:G112" si="38">D104-E104</f>
        <v>135139</v>
      </c>
    </row>
    <row r="105" spans="1:7" x14ac:dyDescent="0.25">
      <c r="A105" s="83" t="s">
        <v>306</v>
      </c>
      <c r="B105" s="181">
        <v>9000</v>
      </c>
      <c r="C105" s="181">
        <v>800000</v>
      </c>
      <c r="D105" s="182">
        <f t="shared" si="37"/>
        <v>809000</v>
      </c>
      <c r="E105" s="181">
        <v>0</v>
      </c>
      <c r="F105" s="181">
        <v>0</v>
      </c>
      <c r="G105" s="182">
        <f t="shared" si="38"/>
        <v>809000</v>
      </c>
    </row>
    <row r="106" spans="1:7" x14ac:dyDescent="0.25">
      <c r="A106" s="83" t="s">
        <v>307</v>
      </c>
      <c r="B106" s="181">
        <v>0</v>
      </c>
      <c r="C106" s="181">
        <v>962644.09</v>
      </c>
      <c r="D106" s="182">
        <f t="shared" si="37"/>
        <v>962644.09</v>
      </c>
      <c r="E106" s="181">
        <v>373226.82</v>
      </c>
      <c r="F106" s="181">
        <v>373226.82</v>
      </c>
      <c r="G106" s="182">
        <f t="shared" si="38"/>
        <v>589417.27</v>
      </c>
    </row>
    <row r="107" spans="1:7" x14ac:dyDescent="0.25">
      <c r="A107" s="83" t="s">
        <v>308</v>
      </c>
      <c r="B107" s="181">
        <v>122000</v>
      </c>
      <c r="C107" s="181">
        <v>0</v>
      </c>
      <c r="D107" s="182">
        <f t="shared" si="37"/>
        <v>122000</v>
      </c>
      <c r="E107" s="181">
        <v>44959.91</v>
      </c>
      <c r="F107" s="181">
        <v>44959.91</v>
      </c>
      <c r="G107" s="182">
        <f t="shared" si="38"/>
        <v>77040.09</v>
      </c>
    </row>
    <row r="108" spans="1:7" x14ac:dyDescent="0.25">
      <c r="A108" s="83" t="s">
        <v>309</v>
      </c>
      <c r="B108" s="181">
        <v>412776.26</v>
      </c>
      <c r="C108" s="181">
        <v>9465.6</v>
      </c>
      <c r="D108" s="182">
        <f t="shared" si="37"/>
        <v>422241.86</v>
      </c>
      <c r="E108" s="181">
        <v>296809.42</v>
      </c>
      <c r="F108" s="181">
        <v>296809.42</v>
      </c>
      <c r="G108" s="182">
        <f t="shared" si="38"/>
        <v>125432.44</v>
      </c>
    </row>
    <row r="109" spans="1:7" x14ac:dyDescent="0.25">
      <c r="A109" s="83" t="s">
        <v>310</v>
      </c>
      <c r="B109" s="181">
        <v>4000</v>
      </c>
      <c r="C109" s="181">
        <v>0</v>
      </c>
      <c r="D109" s="182">
        <f t="shared" si="37"/>
        <v>4000</v>
      </c>
      <c r="E109" s="181">
        <v>1740</v>
      </c>
      <c r="F109" s="181">
        <v>1740</v>
      </c>
      <c r="G109" s="182">
        <f t="shared" si="38"/>
        <v>2260</v>
      </c>
    </row>
    <row r="110" spans="1:7" x14ac:dyDescent="0.25">
      <c r="A110" s="83" t="s">
        <v>311</v>
      </c>
      <c r="B110" s="181">
        <v>44000</v>
      </c>
      <c r="C110" s="181">
        <v>0</v>
      </c>
      <c r="D110" s="182">
        <f t="shared" si="37"/>
        <v>44000</v>
      </c>
      <c r="E110" s="181">
        <v>14304.5</v>
      </c>
      <c r="F110" s="181">
        <v>14304.5</v>
      </c>
      <c r="G110" s="182">
        <f t="shared" si="38"/>
        <v>29695.5</v>
      </c>
    </row>
    <row r="111" spans="1:7" x14ac:dyDescent="0.25">
      <c r="A111" s="83" t="s">
        <v>312</v>
      </c>
      <c r="B111" s="182">
        <v>0</v>
      </c>
      <c r="C111" s="182">
        <v>0</v>
      </c>
      <c r="D111" s="182">
        <f t="shared" si="37"/>
        <v>0</v>
      </c>
      <c r="E111" s="182">
        <v>0</v>
      </c>
      <c r="F111" s="182">
        <v>0</v>
      </c>
      <c r="G111" s="182">
        <f t="shared" si="38"/>
        <v>0</v>
      </c>
    </row>
    <row r="112" spans="1:7" x14ac:dyDescent="0.25">
      <c r="A112" s="83" t="s">
        <v>313</v>
      </c>
      <c r="B112" s="182">
        <v>0</v>
      </c>
      <c r="C112" s="182">
        <v>0</v>
      </c>
      <c r="D112" s="182">
        <f t="shared" si="37"/>
        <v>0</v>
      </c>
      <c r="E112" s="182">
        <v>0</v>
      </c>
      <c r="F112" s="182">
        <v>0</v>
      </c>
      <c r="G112" s="182">
        <f t="shared" si="38"/>
        <v>0</v>
      </c>
    </row>
    <row r="113" spans="1:7" x14ac:dyDescent="0.25">
      <c r="A113" s="82" t="s">
        <v>314</v>
      </c>
      <c r="B113" s="79">
        <f>SUM(B114:B122)</f>
        <v>8550000</v>
      </c>
      <c r="C113" s="79">
        <f t="shared" ref="C113:G113" si="39">SUM(C114:C122)</f>
        <v>6609118.3700000001</v>
      </c>
      <c r="D113" s="79">
        <f t="shared" si="39"/>
        <v>15159118.370000001</v>
      </c>
      <c r="E113" s="79">
        <f t="shared" si="39"/>
        <v>4348531.54</v>
      </c>
      <c r="F113" s="79">
        <f t="shared" si="39"/>
        <v>4348531.54</v>
      </c>
      <c r="G113" s="79">
        <f t="shared" si="39"/>
        <v>10810586.83</v>
      </c>
    </row>
    <row r="114" spans="1:7" x14ac:dyDescent="0.25">
      <c r="A114" s="83" t="s">
        <v>315</v>
      </c>
      <c r="B114" s="182">
        <v>0</v>
      </c>
      <c r="C114" s="182">
        <v>0</v>
      </c>
      <c r="D114" s="182">
        <f t="shared" ref="D114:D122" si="40">B114+C114</f>
        <v>0</v>
      </c>
      <c r="E114" s="182">
        <v>0</v>
      </c>
      <c r="F114" s="182">
        <v>0</v>
      </c>
      <c r="G114" s="182">
        <f t="shared" ref="G114:G122" si="41">D114-E114</f>
        <v>0</v>
      </c>
    </row>
    <row r="115" spans="1:7" x14ac:dyDescent="0.25">
      <c r="A115" s="83" t="s">
        <v>316</v>
      </c>
      <c r="B115" s="182">
        <v>0</v>
      </c>
      <c r="C115" s="182">
        <v>0</v>
      </c>
      <c r="D115" s="182">
        <f t="shared" si="40"/>
        <v>0</v>
      </c>
      <c r="E115" s="182">
        <v>0</v>
      </c>
      <c r="F115" s="182">
        <v>0</v>
      </c>
      <c r="G115" s="182">
        <f t="shared" si="41"/>
        <v>0</v>
      </c>
    </row>
    <row r="116" spans="1:7" x14ac:dyDescent="0.25">
      <c r="A116" s="83" t="s">
        <v>317</v>
      </c>
      <c r="B116" s="181">
        <v>2000000</v>
      </c>
      <c r="C116" s="181">
        <v>1429706.84</v>
      </c>
      <c r="D116" s="182">
        <f t="shared" si="40"/>
        <v>3429706.84</v>
      </c>
      <c r="E116" s="181">
        <v>3285775.33</v>
      </c>
      <c r="F116" s="181">
        <v>3285775.33</v>
      </c>
      <c r="G116" s="182">
        <f t="shared" si="41"/>
        <v>143931.50999999978</v>
      </c>
    </row>
    <row r="117" spans="1:7" x14ac:dyDescent="0.25">
      <c r="A117" s="83" t="s">
        <v>318</v>
      </c>
      <c r="B117" s="181">
        <v>6550000</v>
      </c>
      <c r="C117" s="181">
        <v>5179411.53</v>
      </c>
      <c r="D117" s="182">
        <f t="shared" si="40"/>
        <v>11729411.530000001</v>
      </c>
      <c r="E117" s="181">
        <v>1062756.21</v>
      </c>
      <c r="F117" s="181">
        <v>1062756.21</v>
      </c>
      <c r="G117" s="182">
        <f t="shared" si="41"/>
        <v>10666655.32</v>
      </c>
    </row>
    <row r="118" spans="1:7" x14ac:dyDescent="0.25">
      <c r="A118" s="83" t="s">
        <v>319</v>
      </c>
      <c r="B118" s="182">
        <v>0</v>
      </c>
      <c r="C118" s="182">
        <v>0</v>
      </c>
      <c r="D118" s="182">
        <v>0</v>
      </c>
      <c r="E118" s="182">
        <v>0</v>
      </c>
      <c r="F118" s="182">
        <v>0</v>
      </c>
      <c r="G118" s="182">
        <v>0</v>
      </c>
    </row>
    <row r="119" spans="1:7" x14ac:dyDescent="0.25">
      <c r="A119" s="83" t="s">
        <v>320</v>
      </c>
      <c r="B119" s="182">
        <v>0</v>
      </c>
      <c r="C119" s="182">
        <v>0</v>
      </c>
      <c r="D119" s="182">
        <v>0</v>
      </c>
      <c r="E119" s="182">
        <v>0</v>
      </c>
      <c r="F119" s="182">
        <v>0</v>
      </c>
      <c r="G119" s="182">
        <v>0</v>
      </c>
    </row>
    <row r="120" spans="1:7" x14ac:dyDescent="0.25">
      <c r="A120" s="83" t="s">
        <v>321</v>
      </c>
      <c r="B120" s="182">
        <v>0</v>
      </c>
      <c r="C120" s="182">
        <v>0</v>
      </c>
      <c r="D120" s="182">
        <v>0</v>
      </c>
      <c r="E120" s="182">
        <v>0</v>
      </c>
      <c r="F120" s="182">
        <v>0</v>
      </c>
      <c r="G120" s="182">
        <v>0</v>
      </c>
    </row>
    <row r="121" spans="1:7" x14ac:dyDescent="0.25">
      <c r="A121" s="83" t="s">
        <v>322</v>
      </c>
      <c r="B121" s="182">
        <v>0</v>
      </c>
      <c r="C121" s="182">
        <v>0</v>
      </c>
      <c r="D121" s="182">
        <v>0</v>
      </c>
      <c r="E121" s="182">
        <v>0</v>
      </c>
      <c r="F121" s="182">
        <v>0</v>
      </c>
      <c r="G121" s="182">
        <v>0</v>
      </c>
    </row>
    <row r="122" spans="1:7" x14ac:dyDescent="0.25">
      <c r="A122" s="83" t="s">
        <v>323</v>
      </c>
      <c r="B122" s="182">
        <v>0</v>
      </c>
      <c r="C122" s="182"/>
      <c r="D122" s="182">
        <f t="shared" si="40"/>
        <v>0</v>
      </c>
      <c r="E122" s="182"/>
      <c r="F122" s="182"/>
      <c r="G122" s="182">
        <f t="shared" si="41"/>
        <v>0</v>
      </c>
    </row>
    <row r="123" spans="1:7" x14ac:dyDescent="0.25">
      <c r="A123" s="82" t="s">
        <v>324</v>
      </c>
      <c r="B123" s="79">
        <f>SUM(B124:B132)</f>
        <v>70000</v>
      </c>
      <c r="C123" s="79">
        <f t="shared" ref="C123:G123" si="42">SUM(C124:C132)</f>
        <v>532000</v>
      </c>
      <c r="D123" s="79">
        <f t="shared" si="42"/>
        <v>602000</v>
      </c>
      <c r="E123" s="79">
        <f t="shared" si="42"/>
        <v>0</v>
      </c>
      <c r="F123" s="79">
        <f t="shared" si="42"/>
        <v>0</v>
      </c>
      <c r="G123" s="79">
        <f t="shared" si="42"/>
        <v>602000</v>
      </c>
    </row>
    <row r="124" spans="1:7" x14ac:dyDescent="0.25">
      <c r="A124" s="83" t="s">
        <v>325</v>
      </c>
      <c r="B124" s="181">
        <v>40000</v>
      </c>
      <c r="C124" s="181">
        <v>32000</v>
      </c>
      <c r="D124" s="182">
        <f t="shared" ref="D124:D132" si="43">B124+C124</f>
        <v>72000</v>
      </c>
      <c r="E124" s="181">
        <v>0</v>
      </c>
      <c r="F124" s="181">
        <v>0</v>
      </c>
      <c r="G124" s="182">
        <f t="shared" ref="G124:G132" si="44">D124-E124</f>
        <v>72000</v>
      </c>
    </row>
    <row r="125" spans="1:7" x14ac:dyDescent="0.25">
      <c r="A125" s="83" t="s">
        <v>326</v>
      </c>
      <c r="B125" s="182">
        <v>0</v>
      </c>
      <c r="C125" s="182">
        <v>0</v>
      </c>
      <c r="D125" s="182">
        <f t="shared" si="43"/>
        <v>0</v>
      </c>
      <c r="E125" s="182">
        <v>0</v>
      </c>
      <c r="F125" s="182">
        <v>0</v>
      </c>
      <c r="G125" s="182">
        <f t="shared" si="44"/>
        <v>0</v>
      </c>
    </row>
    <row r="126" spans="1:7" x14ac:dyDescent="0.25">
      <c r="A126" s="83" t="s">
        <v>327</v>
      </c>
      <c r="B126" s="182">
        <v>0</v>
      </c>
      <c r="C126" s="182">
        <v>0</v>
      </c>
      <c r="D126" s="182">
        <f t="shared" si="43"/>
        <v>0</v>
      </c>
      <c r="E126" s="182">
        <v>0</v>
      </c>
      <c r="F126" s="182">
        <v>0</v>
      </c>
      <c r="G126" s="182">
        <f t="shared" si="44"/>
        <v>0</v>
      </c>
    </row>
    <row r="127" spans="1:7" x14ac:dyDescent="0.25">
      <c r="A127" s="83" t="s">
        <v>328</v>
      </c>
      <c r="B127" s="181">
        <v>0</v>
      </c>
      <c r="C127" s="181">
        <v>500000</v>
      </c>
      <c r="D127" s="182">
        <f t="shared" si="43"/>
        <v>500000</v>
      </c>
      <c r="E127" s="181">
        <v>0</v>
      </c>
      <c r="F127" s="181">
        <v>0</v>
      </c>
      <c r="G127" s="182">
        <f t="shared" si="44"/>
        <v>500000</v>
      </c>
    </row>
    <row r="128" spans="1:7" x14ac:dyDescent="0.25">
      <c r="A128" s="83" t="s">
        <v>329</v>
      </c>
      <c r="B128" s="182">
        <v>0</v>
      </c>
      <c r="C128" s="182">
        <v>0</v>
      </c>
      <c r="D128" s="182">
        <f t="shared" si="43"/>
        <v>0</v>
      </c>
      <c r="E128" s="182"/>
      <c r="F128" s="182">
        <v>0</v>
      </c>
      <c r="G128" s="182">
        <f t="shared" si="44"/>
        <v>0</v>
      </c>
    </row>
    <row r="129" spans="1:7" x14ac:dyDescent="0.25">
      <c r="A129" s="83" t="s">
        <v>330</v>
      </c>
      <c r="B129" s="181">
        <v>30000</v>
      </c>
      <c r="C129" s="181">
        <v>0</v>
      </c>
      <c r="D129" s="182">
        <f t="shared" si="43"/>
        <v>30000</v>
      </c>
      <c r="E129" s="181">
        <v>0</v>
      </c>
      <c r="F129" s="181">
        <v>0</v>
      </c>
      <c r="G129" s="182">
        <f t="shared" si="44"/>
        <v>30000</v>
      </c>
    </row>
    <row r="130" spans="1:7" x14ac:dyDescent="0.25">
      <c r="A130" s="83" t="s">
        <v>331</v>
      </c>
      <c r="B130" s="182">
        <v>0</v>
      </c>
      <c r="C130" s="182">
        <v>0</v>
      </c>
      <c r="D130" s="182">
        <f t="shared" si="43"/>
        <v>0</v>
      </c>
      <c r="E130" s="182">
        <v>0</v>
      </c>
      <c r="F130" s="182">
        <v>0</v>
      </c>
      <c r="G130" s="182">
        <f t="shared" si="44"/>
        <v>0</v>
      </c>
    </row>
    <row r="131" spans="1:7" x14ac:dyDescent="0.25">
      <c r="A131" s="83" t="s">
        <v>332</v>
      </c>
      <c r="B131" s="182">
        <v>0</v>
      </c>
      <c r="C131" s="182">
        <v>0</v>
      </c>
      <c r="D131" s="182">
        <f t="shared" si="43"/>
        <v>0</v>
      </c>
      <c r="E131" s="182">
        <v>0</v>
      </c>
      <c r="F131" s="182">
        <v>0</v>
      </c>
      <c r="G131" s="182">
        <f t="shared" si="44"/>
        <v>0</v>
      </c>
    </row>
    <row r="132" spans="1:7" x14ac:dyDescent="0.25">
      <c r="A132" s="83" t="s">
        <v>333</v>
      </c>
      <c r="B132" s="182">
        <v>0</v>
      </c>
      <c r="C132" s="182">
        <v>0</v>
      </c>
      <c r="D132" s="182">
        <f t="shared" si="43"/>
        <v>0</v>
      </c>
      <c r="E132" s="182">
        <v>0</v>
      </c>
      <c r="F132" s="182">
        <v>0</v>
      </c>
      <c r="G132" s="182">
        <f t="shared" si="44"/>
        <v>0</v>
      </c>
    </row>
    <row r="133" spans="1:7" x14ac:dyDescent="0.25">
      <c r="A133" s="82" t="s">
        <v>334</v>
      </c>
      <c r="B133" s="79">
        <f>SUM(B134:B136)</f>
        <v>19050000</v>
      </c>
      <c r="C133" s="79">
        <f t="shared" ref="C133:G133" si="45">SUM(C134:C136)</f>
        <v>5457989.1200000001</v>
      </c>
      <c r="D133" s="79">
        <f t="shared" si="45"/>
        <v>24507989.120000001</v>
      </c>
      <c r="E133" s="79">
        <f t="shared" si="45"/>
        <v>2120286.71</v>
      </c>
      <c r="F133" s="79">
        <f t="shared" si="45"/>
        <v>2120286.71</v>
      </c>
      <c r="G133" s="79">
        <f t="shared" si="45"/>
        <v>22387702.41</v>
      </c>
    </row>
    <row r="134" spans="1:7" x14ac:dyDescent="0.25">
      <c r="A134" s="83" t="s">
        <v>335</v>
      </c>
      <c r="B134" s="181">
        <v>19050000</v>
      </c>
      <c r="C134" s="181">
        <v>5457989.1200000001</v>
      </c>
      <c r="D134" s="182">
        <f t="shared" ref="D134:D136" si="46">B134+C134</f>
        <v>24507989.120000001</v>
      </c>
      <c r="E134" s="181">
        <v>2120286.71</v>
      </c>
      <c r="F134" s="181">
        <v>2120286.71</v>
      </c>
      <c r="G134" s="182">
        <f t="shared" ref="G134:G136" si="47">D134-E134</f>
        <v>22387702.41</v>
      </c>
    </row>
    <row r="135" spans="1:7" x14ac:dyDescent="0.25">
      <c r="A135" s="83" t="s">
        <v>336</v>
      </c>
      <c r="B135" s="182">
        <v>0</v>
      </c>
      <c r="C135" s="182">
        <v>0</v>
      </c>
      <c r="D135" s="182">
        <f t="shared" si="46"/>
        <v>0</v>
      </c>
      <c r="E135" s="182">
        <v>0</v>
      </c>
      <c r="F135" s="182">
        <v>0</v>
      </c>
      <c r="G135" s="182">
        <f t="shared" si="47"/>
        <v>0</v>
      </c>
    </row>
    <row r="136" spans="1:7" x14ac:dyDescent="0.25">
      <c r="A136" s="83" t="s">
        <v>337</v>
      </c>
      <c r="B136" s="182">
        <v>0</v>
      </c>
      <c r="C136" s="182">
        <v>0</v>
      </c>
      <c r="D136" s="182">
        <f t="shared" si="46"/>
        <v>0</v>
      </c>
      <c r="E136" s="182">
        <v>0</v>
      </c>
      <c r="F136" s="182">
        <v>0</v>
      </c>
      <c r="G136" s="182">
        <f t="shared" si="47"/>
        <v>0</v>
      </c>
    </row>
    <row r="137" spans="1:7" x14ac:dyDescent="0.25">
      <c r="A137" s="82" t="s">
        <v>338</v>
      </c>
      <c r="B137" s="79">
        <f>SUM(B138:B142,B144:B145)</f>
        <v>0</v>
      </c>
      <c r="C137" s="79">
        <f t="shared" ref="C137:G137" si="48">SUM(C138:C142,C144:C145)</f>
        <v>0</v>
      </c>
      <c r="D137" s="79">
        <f t="shared" si="48"/>
        <v>0</v>
      </c>
      <c r="E137" s="79">
        <f t="shared" si="48"/>
        <v>0</v>
      </c>
      <c r="F137" s="79">
        <f t="shared" si="48"/>
        <v>0</v>
      </c>
      <c r="G137" s="79">
        <f t="shared" si="48"/>
        <v>0</v>
      </c>
    </row>
    <row r="138" spans="1:7" x14ac:dyDescent="0.25">
      <c r="A138" s="83" t="s">
        <v>339</v>
      </c>
      <c r="B138" s="182">
        <v>0</v>
      </c>
      <c r="C138" s="182">
        <v>0</v>
      </c>
      <c r="D138" s="182">
        <f t="shared" ref="D138:D145" si="49">B138+C138</f>
        <v>0</v>
      </c>
      <c r="E138" s="182">
        <v>0</v>
      </c>
      <c r="F138" s="182">
        <v>0</v>
      </c>
      <c r="G138" s="182">
        <f t="shared" ref="G138:G145" si="50">D138-E138</f>
        <v>0</v>
      </c>
    </row>
    <row r="139" spans="1:7" x14ac:dyDescent="0.25">
      <c r="A139" s="83" t="s">
        <v>340</v>
      </c>
      <c r="B139" s="182">
        <v>0</v>
      </c>
      <c r="C139" s="182">
        <v>0</v>
      </c>
      <c r="D139" s="182">
        <f t="shared" si="49"/>
        <v>0</v>
      </c>
      <c r="E139" s="182">
        <v>0</v>
      </c>
      <c r="F139" s="182">
        <v>0</v>
      </c>
      <c r="G139" s="182">
        <f t="shared" si="50"/>
        <v>0</v>
      </c>
    </row>
    <row r="140" spans="1:7" x14ac:dyDescent="0.25">
      <c r="A140" s="83" t="s">
        <v>341</v>
      </c>
      <c r="B140" s="182">
        <v>0</v>
      </c>
      <c r="C140" s="182">
        <v>0</v>
      </c>
      <c r="D140" s="182">
        <f t="shared" si="49"/>
        <v>0</v>
      </c>
      <c r="E140" s="182">
        <v>0</v>
      </c>
      <c r="F140" s="182">
        <v>0</v>
      </c>
      <c r="G140" s="182">
        <f t="shared" si="50"/>
        <v>0</v>
      </c>
    </row>
    <row r="141" spans="1:7" x14ac:dyDescent="0.25">
      <c r="A141" s="83" t="s">
        <v>342</v>
      </c>
      <c r="B141" s="182">
        <v>0</v>
      </c>
      <c r="C141" s="182">
        <v>0</v>
      </c>
      <c r="D141" s="182">
        <f t="shared" si="49"/>
        <v>0</v>
      </c>
      <c r="E141" s="182">
        <v>0</v>
      </c>
      <c r="F141" s="182">
        <v>0</v>
      </c>
      <c r="G141" s="182">
        <f t="shared" si="50"/>
        <v>0</v>
      </c>
    </row>
    <row r="142" spans="1:7" x14ac:dyDescent="0.25">
      <c r="A142" s="83" t="s">
        <v>343</v>
      </c>
      <c r="B142" s="182">
        <v>0</v>
      </c>
      <c r="C142" s="182">
        <v>0</v>
      </c>
      <c r="D142" s="182">
        <f t="shared" si="49"/>
        <v>0</v>
      </c>
      <c r="E142" s="182">
        <v>0</v>
      </c>
      <c r="F142" s="182">
        <v>0</v>
      </c>
      <c r="G142" s="182">
        <f t="shared" si="50"/>
        <v>0</v>
      </c>
    </row>
    <row r="143" spans="1:7" x14ac:dyDescent="0.25">
      <c r="A143" s="83" t="s">
        <v>3301</v>
      </c>
      <c r="B143" s="182">
        <v>0</v>
      </c>
      <c r="C143" s="182">
        <v>0</v>
      </c>
      <c r="D143" s="182">
        <f t="shared" si="49"/>
        <v>0</v>
      </c>
      <c r="E143" s="182">
        <v>0</v>
      </c>
      <c r="F143" s="182">
        <v>0</v>
      </c>
      <c r="G143" s="182">
        <f t="shared" si="50"/>
        <v>0</v>
      </c>
    </row>
    <row r="144" spans="1:7" x14ac:dyDescent="0.25">
      <c r="A144" s="83" t="s">
        <v>345</v>
      </c>
      <c r="B144" s="182">
        <v>0</v>
      </c>
      <c r="C144" s="182">
        <v>0</v>
      </c>
      <c r="D144" s="182">
        <f t="shared" si="49"/>
        <v>0</v>
      </c>
      <c r="E144" s="182">
        <v>0</v>
      </c>
      <c r="F144" s="182">
        <v>0</v>
      </c>
      <c r="G144" s="182">
        <f t="shared" si="50"/>
        <v>0</v>
      </c>
    </row>
    <row r="145" spans="1:7" x14ac:dyDescent="0.25">
      <c r="A145" s="83" t="s">
        <v>346</v>
      </c>
      <c r="B145" s="182">
        <v>0</v>
      </c>
      <c r="C145" s="182">
        <v>0</v>
      </c>
      <c r="D145" s="182">
        <f t="shared" si="49"/>
        <v>0</v>
      </c>
      <c r="E145" s="182">
        <v>0</v>
      </c>
      <c r="F145" s="182">
        <v>0</v>
      </c>
      <c r="G145" s="182">
        <f t="shared" si="50"/>
        <v>0</v>
      </c>
    </row>
    <row r="146" spans="1:7" x14ac:dyDescent="0.25">
      <c r="A146" s="82" t="s">
        <v>347</v>
      </c>
      <c r="B146" s="79">
        <f>SUM(B147:B149)</f>
        <v>0</v>
      </c>
      <c r="C146" s="79">
        <f t="shared" ref="C146:G146" si="51">SUM(C147:C149)</f>
        <v>4825808.0999999996</v>
      </c>
      <c r="D146" s="79">
        <f t="shared" si="51"/>
        <v>4825808.0999999996</v>
      </c>
      <c r="E146" s="79">
        <f t="shared" si="51"/>
        <v>3702965.42</v>
      </c>
      <c r="F146" s="79">
        <f t="shared" si="51"/>
        <v>3702965.42</v>
      </c>
      <c r="G146" s="79">
        <f t="shared" si="51"/>
        <v>1122842.6799999997</v>
      </c>
    </row>
    <row r="147" spans="1:7" x14ac:dyDescent="0.25">
      <c r="A147" s="83" t="s">
        <v>348</v>
      </c>
      <c r="B147" s="182">
        <v>0</v>
      </c>
      <c r="C147" s="182"/>
      <c r="D147" s="182">
        <f t="shared" ref="D147:D149" si="52">B147+C147</f>
        <v>0</v>
      </c>
      <c r="E147" s="182"/>
      <c r="F147" s="182"/>
      <c r="G147" s="182">
        <f t="shared" ref="G147:G149" si="53">D147-E147</f>
        <v>0</v>
      </c>
    </row>
    <row r="148" spans="1:7" x14ac:dyDescent="0.25">
      <c r="A148" s="83" t="s">
        <v>349</v>
      </c>
      <c r="B148" s="182">
        <v>0</v>
      </c>
      <c r="C148" s="182"/>
      <c r="D148" s="182">
        <f t="shared" si="52"/>
        <v>0</v>
      </c>
      <c r="E148" s="182"/>
      <c r="F148" s="182"/>
      <c r="G148" s="182">
        <f t="shared" si="53"/>
        <v>0</v>
      </c>
    </row>
    <row r="149" spans="1:7" x14ac:dyDescent="0.25">
      <c r="A149" s="83" t="s">
        <v>350</v>
      </c>
      <c r="B149" s="181">
        <v>0</v>
      </c>
      <c r="C149" s="181">
        <v>4825808.0999999996</v>
      </c>
      <c r="D149" s="182">
        <f t="shared" si="52"/>
        <v>4825808.0999999996</v>
      </c>
      <c r="E149" s="181">
        <v>3702965.42</v>
      </c>
      <c r="F149" s="181">
        <v>3702965.42</v>
      </c>
      <c r="G149" s="182">
        <f t="shared" si="53"/>
        <v>1122842.6799999997</v>
      </c>
    </row>
    <row r="150" spans="1:7" x14ac:dyDescent="0.25">
      <c r="A150" s="82" t="s">
        <v>351</v>
      </c>
      <c r="B150" s="79">
        <f>SUM(B151:B157)</f>
        <v>0</v>
      </c>
      <c r="C150" s="79">
        <f t="shared" ref="C150:G150" si="54">SUM(C151:C157)</f>
        <v>0</v>
      </c>
      <c r="D150" s="79">
        <f t="shared" si="54"/>
        <v>0</v>
      </c>
      <c r="E150" s="79">
        <f t="shared" si="54"/>
        <v>0</v>
      </c>
      <c r="F150" s="79">
        <f t="shared" si="54"/>
        <v>0</v>
      </c>
      <c r="G150" s="79">
        <f t="shared" si="54"/>
        <v>0</v>
      </c>
    </row>
    <row r="151" spans="1:7" x14ac:dyDescent="0.25">
      <c r="A151" s="83" t="s">
        <v>352</v>
      </c>
      <c r="B151" s="79">
        <v>0</v>
      </c>
      <c r="C151" s="79">
        <v>0</v>
      </c>
      <c r="D151" s="79">
        <v>0</v>
      </c>
      <c r="E151" s="79">
        <v>0</v>
      </c>
      <c r="F151" s="79">
        <v>0</v>
      </c>
      <c r="G151" s="79">
        <f>D151-E151</f>
        <v>0</v>
      </c>
    </row>
    <row r="152" spans="1:7" x14ac:dyDescent="0.25">
      <c r="A152" s="83" t="s">
        <v>353</v>
      </c>
      <c r="B152" s="79">
        <v>0</v>
      </c>
      <c r="C152" s="79">
        <v>0</v>
      </c>
      <c r="D152" s="79">
        <v>0</v>
      </c>
      <c r="E152" s="79">
        <v>0</v>
      </c>
      <c r="F152" s="79">
        <v>0</v>
      </c>
      <c r="G152" s="79">
        <f t="shared" ref="G152:G157" si="55">D152-E152</f>
        <v>0</v>
      </c>
    </row>
    <row r="153" spans="1:7" x14ac:dyDescent="0.25">
      <c r="A153" s="83" t="s">
        <v>354</v>
      </c>
      <c r="B153" s="79">
        <v>0</v>
      </c>
      <c r="C153" s="79">
        <v>0</v>
      </c>
      <c r="D153" s="79">
        <v>0</v>
      </c>
      <c r="E153" s="79">
        <v>0</v>
      </c>
      <c r="F153" s="79">
        <v>0</v>
      </c>
      <c r="G153" s="79">
        <f t="shared" si="55"/>
        <v>0</v>
      </c>
    </row>
    <row r="154" spans="1:7" x14ac:dyDescent="0.25">
      <c r="A154" s="42" t="s">
        <v>355</v>
      </c>
      <c r="B154" s="79">
        <v>0</v>
      </c>
      <c r="C154" s="79">
        <v>0</v>
      </c>
      <c r="D154" s="79">
        <v>0</v>
      </c>
      <c r="E154" s="79">
        <v>0</v>
      </c>
      <c r="F154" s="79">
        <v>0</v>
      </c>
      <c r="G154" s="79">
        <f t="shared" si="55"/>
        <v>0</v>
      </c>
    </row>
    <row r="155" spans="1:7" x14ac:dyDescent="0.25">
      <c r="A155" s="83" t="s">
        <v>356</v>
      </c>
      <c r="B155" s="79">
        <v>0</v>
      </c>
      <c r="C155" s="79">
        <v>0</v>
      </c>
      <c r="D155" s="79">
        <v>0</v>
      </c>
      <c r="E155" s="79">
        <v>0</v>
      </c>
      <c r="F155" s="79">
        <v>0</v>
      </c>
      <c r="G155" s="79">
        <f t="shared" si="55"/>
        <v>0</v>
      </c>
    </row>
    <row r="156" spans="1:7" x14ac:dyDescent="0.25">
      <c r="A156" s="83" t="s">
        <v>357</v>
      </c>
      <c r="B156" s="79">
        <v>0</v>
      </c>
      <c r="C156" s="79">
        <v>0</v>
      </c>
      <c r="D156" s="79">
        <v>0</v>
      </c>
      <c r="E156" s="79">
        <v>0</v>
      </c>
      <c r="F156" s="79">
        <v>0</v>
      </c>
      <c r="G156" s="79">
        <f t="shared" si="55"/>
        <v>0</v>
      </c>
    </row>
    <row r="157" spans="1:7" x14ac:dyDescent="0.25">
      <c r="A157" s="83" t="s">
        <v>358</v>
      </c>
      <c r="B157" s="79">
        <v>0</v>
      </c>
      <c r="C157" s="79">
        <v>0</v>
      </c>
      <c r="D157" s="79">
        <v>0</v>
      </c>
      <c r="E157" s="79">
        <v>0</v>
      </c>
      <c r="F157" s="79">
        <v>0</v>
      </c>
      <c r="G157" s="79">
        <f t="shared" si="55"/>
        <v>0</v>
      </c>
    </row>
    <row r="158" spans="1:7" x14ac:dyDescent="0.25">
      <c r="A158" s="43"/>
      <c r="B158" s="80"/>
      <c r="C158" s="80"/>
      <c r="D158" s="80"/>
      <c r="E158" s="80"/>
      <c r="F158" s="80"/>
      <c r="G158" s="80"/>
    </row>
    <row r="159" spans="1:7" x14ac:dyDescent="0.25">
      <c r="A159" s="44" t="s">
        <v>360</v>
      </c>
      <c r="B159" s="78">
        <f>B9+B84</f>
        <v>94839000</v>
      </c>
      <c r="C159" s="78">
        <f t="shared" ref="C159:G159" si="56">C9+C84</f>
        <v>38599726</v>
      </c>
      <c r="D159" s="78">
        <f t="shared" si="56"/>
        <v>133438726</v>
      </c>
      <c r="E159" s="78">
        <f t="shared" si="56"/>
        <v>60582670.610000007</v>
      </c>
      <c r="F159" s="78">
        <f t="shared" si="56"/>
        <v>60507130.610000007</v>
      </c>
      <c r="G159" s="78">
        <f t="shared" si="56"/>
        <v>72856055.390000001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57 B5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55939000</v>
      </c>
      <c r="Q2" s="18">
        <f>'Formato 6 a)'!C9</f>
        <v>16167838.890000001</v>
      </c>
      <c r="R2" s="18">
        <f>'Formato 6 a)'!D9</f>
        <v>72106838.890000001</v>
      </c>
      <c r="S2" s="18">
        <f>'Formato 6 a)'!E9</f>
        <v>42083784.600000009</v>
      </c>
      <c r="T2" s="18">
        <f>'Formato 6 a)'!F9</f>
        <v>42083784.600000009</v>
      </c>
      <c r="U2" s="18">
        <f>'Formato 6 a)'!G9</f>
        <v>30023054.289999999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30766394.489999998</v>
      </c>
      <c r="Q3" s="18">
        <f>'Formato 6 a)'!C10</f>
        <v>1662298.65</v>
      </c>
      <c r="R3" s="18">
        <f>'Formato 6 a)'!D10</f>
        <v>32428693.140000001</v>
      </c>
      <c r="S3" s="18">
        <f>'Formato 6 a)'!E10</f>
        <v>18683409.550000004</v>
      </c>
      <c r="T3" s="18">
        <f>'Formato 6 a)'!F10</f>
        <v>18683409.550000004</v>
      </c>
      <c r="U3" s="18">
        <f>'Formato 6 a)'!G10</f>
        <v>13745283.589999998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22777596.68</v>
      </c>
      <c r="Q4" s="18">
        <f>'Formato 6 a)'!C11</f>
        <v>386360.7</v>
      </c>
      <c r="R4" s="18">
        <f>'Formato 6 a)'!D11</f>
        <v>23163957.379999999</v>
      </c>
      <c r="S4" s="18">
        <f>'Formato 6 a)'!E11</f>
        <v>16740000.310000001</v>
      </c>
      <c r="T4" s="18">
        <f>'Formato 6 a)'!F11</f>
        <v>16740000.310000001</v>
      </c>
      <c r="U4" s="18">
        <f>'Formato 6 a)'!G11</f>
        <v>6423957.0699999984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1205000</v>
      </c>
      <c r="Q5" s="18">
        <f>'Formato 6 a)'!C12</f>
        <v>269000</v>
      </c>
      <c r="R5" s="18">
        <f>'Formato 6 a)'!D12</f>
        <v>1474000</v>
      </c>
      <c r="S5" s="18">
        <f>'Formato 6 a)'!E12</f>
        <v>1093738.8500000001</v>
      </c>
      <c r="T5" s="18">
        <f>'Formato 6 a)'!F12</f>
        <v>1093738.8500000001</v>
      </c>
      <c r="U5" s="18">
        <f>'Formato 6 a)'!G12</f>
        <v>380261.14999999991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3501056.41</v>
      </c>
      <c r="Q6" s="18">
        <f>'Formato 6 a)'!C13</f>
        <v>49852.84</v>
      </c>
      <c r="R6" s="18">
        <f>'Formato 6 a)'!D13</f>
        <v>3550909.25</v>
      </c>
      <c r="S6" s="18">
        <f>'Formato 6 a)'!E13</f>
        <v>256507.01</v>
      </c>
      <c r="T6" s="18">
        <f>'Formato 6 a)'!F13</f>
        <v>256507.01</v>
      </c>
      <c r="U6" s="18">
        <f>'Formato 6 a)'!G13</f>
        <v>3294402.24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250000</v>
      </c>
      <c r="Q7" s="18">
        <f>'Formato 6 a)'!C14</f>
        <v>0</v>
      </c>
      <c r="R7" s="18">
        <f>'Formato 6 a)'!D14</f>
        <v>250000</v>
      </c>
      <c r="S7" s="18">
        <f>'Formato 6 a)'!E14</f>
        <v>0</v>
      </c>
      <c r="T7" s="18">
        <f>'Formato 6 a)'!F14</f>
        <v>0</v>
      </c>
      <c r="U7" s="18">
        <f>'Formato 6 a)'!G14</f>
        <v>250000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2332741.4</v>
      </c>
      <c r="Q8" s="18">
        <f>'Formato 6 a)'!C15</f>
        <v>30785.9</v>
      </c>
      <c r="R8" s="18">
        <f>'Formato 6 a)'!D15</f>
        <v>2363527.2999999998</v>
      </c>
      <c r="S8" s="18">
        <f>'Formato 6 a)'!E15</f>
        <v>538800.37</v>
      </c>
      <c r="T8" s="18">
        <f>'Formato 6 a)'!F15</f>
        <v>538800.37</v>
      </c>
      <c r="U8" s="18">
        <f>'Formato 6 a)'!G15</f>
        <v>1824726.9299999997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700000</v>
      </c>
      <c r="Q9" s="18">
        <f>'Formato 6 a)'!C16</f>
        <v>926299.21</v>
      </c>
      <c r="R9" s="18">
        <f>'Formato 6 a)'!D16</f>
        <v>1626299.21</v>
      </c>
      <c r="S9" s="18">
        <f>'Formato 6 a)'!E16</f>
        <v>54363.01</v>
      </c>
      <c r="T9" s="18">
        <f>'Formato 6 a)'!F16</f>
        <v>54363.01</v>
      </c>
      <c r="U9" s="18">
        <f>'Formato 6 a)'!G16</f>
        <v>1571936.2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3872824.91</v>
      </c>
      <c r="Q11" s="18">
        <f>'Formato 6 a)'!C18</f>
        <v>3213182.17</v>
      </c>
      <c r="R11" s="18">
        <f>'Formato 6 a)'!D18</f>
        <v>7086007.0800000001</v>
      </c>
      <c r="S11" s="18">
        <f>'Formato 6 a)'!E18</f>
        <v>4120738.8</v>
      </c>
      <c r="T11" s="18">
        <f>'Formato 6 a)'!F18</f>
        <v>4120738.8</v>
      </c>
      <c r="U11" s="18">
        <f>'Formato 6 a)'!G18</f>
        <v>2965268.2800000007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659500</v>
      </c>
      <c r="Q12" s="18">
        <f>'Formato 6 a)'!C19</f>
        <v>424089.08</v>
      </c>
      <c r="R12" s="18">
        <f>'Formato 6 a)'!D19</f>
        <v>1083589.08</v>
      </c>
      <c r="S12" s="18">
        <f>'Formato 6 a)'!E19</f>
        <v>262036.67</v>
      </c>
      <c r="T12" s="18">
        <f>'Formato 6 a)'!F19</f>
        <v>262036.67</v>
      </c>
      <c r="U12" s="18">
        <f>'Formato 6 a)'!G19</f>
        <v>821552.41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211000</v>
      </c>
      <c r="Q13" s="18">
        <f>'Formato 6 a)'!C20</f>
        <v>381103.35</v>
      </c>
      <c r="R13" s="18">
        <f>'Formato 6 a)'!D20</f>
        <v>592103.35</v>
      </c>
      <c r="S13" s="18">
        <f>'Formato 6 a)'!E20</f>
        <v>183866.96</v>
      </c>
      <c r="T13" s="18">
        <f>'Formato 6 a)'!F20</f>
        <v>183866.96</v>
      </c>
      <c r="U13" s="18">
        <f>'Formato 6 a)'!G20</f>
        <v>408236.39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548210</v>
      </c>
      <c r="Q15" s="18">
        <f>'Formato 6 a)'!C22</f>
        <v>119639</v>
      </c>
      <c r="R15" s="18">
        <f>'Formato 6 a)'!D22</f>
        <v>667849</v>
      </c>
      <c r="S15" s="18">
        <f>'Formato 6 a)'!E22</f>
        <v>130249.39</v>
      </c>
      <c r="T15" s="18">
        <f>'Formato 6 a)'!F22</f>
        <v>130249.39</v>
      </c>
      <c r="U15" s="18">
        <f>'Formato 6 a)'!G22</f>
        <v>537599.61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27000</v>
      </c>
      <c r="Q16" s="18">
        <f>'Formato 6 a)'!C23</f>
        <v>-12000</v>
      </c>
      <c r="R16" s="18">
        <f>'Formato 6 a)'!D23</f>
        <v>15000</v>
      </c>
      <c r="S16" s="18">
        <f>'Formato 6 a)'!E23</f>
        <v>0</v>
      </c>
      <c r="T16" s="18">
        <f>'Formato 6 a)'!F23</f>
        <v>0</v>
      </c>
      <c r="U16" s="18">
        <f>'Formato 6 a)'!G23</f>
        <v>15000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2166114.91</v>
      </c>
      <c r="Q17" s="18">
        <f>'Formato 6 a)'!C24</f>
        <v>2314850.7400000002</v>
      </c>
      <c r="R17" s="18">
        <f>'Formato 6 a)'!D24</f>
        <v>4480965.6500000004</v>
      </c>
      <c r="S17" s="18">
        <f>'Formato 6 a)'!E24</f>
        <v>3408491.58</v>
      </c>
      <c r="T17" s="18">
        <f>'Formato 6 a)'!F24</f>
        <v>3408491.58</v>
      </c>
      <c r="U17" s="18">
        <f>'Formato 6 a)'!G24</f>
        <v>1072474.0700000003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159000</v>
      </c>
      <c r="Q18" s="18">
        <f>'Formato 6 a)'!C25</f>
        <v>-7500</v>
      </c>
      <c r="R18" s="18">
        <f>'Formato 6 a)'!D25</f>
        <v>151500</v>
      </c>
      <c r="S18" s="18">
        <f>'Formato 6 a)'!E25</f>
        <v>127296.19</v>
      </c>
      <c r="T18" s="18">
        <f>'Formato 6 a)'!F25</f>
        <v>127296.19</v>
      </c>
      <c r="U18" s="18">
        <f>'Formato 6 a)'!G25</f>
        <v>24203.809999999998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102000</v>
      </c>
      <c r="Q20" s="18">
        <f>'Formato 6 a)'!C27</f>
        <v>-7000</v>
      </c>
      <c r="R20" s="18">
        <f>'Formato 6 a)'!D27</f>
        <v>95000</v>
      </c>
      <c r="S20" s="18">
        <f>'Formato 6 a)'!E27</f>
        <v>8798.01</v>
      </c>
      <c r="T20" s="18">
        <f>'Formato 6 a)'!F27</f>
        <v>8798.01</v>
      </c>
      <c r="U20" s="18">
        <f>'Formato 6 a)'!G27</f>
        <v>86201.99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10944710.42</v>
      </c>
      <c r="Q21" s="18">
        <f>'Formato 6 a)'!C28</f>
        <v>5154112.32</v>
      </c>
      <c r="R21" s="18">
        <f>'Formato 6 a)'!D28</f>
        <v>16098822.74</v>
      </c>
      <c r="S21" s="18">
        <f>'Formato 6 a)'!E28</f>
        <v>8229792.3300000001</v>
      </c>
      <c r="T21" s="18">
        <f>'Formato 6 a)'!F28</f>
        <v>8229792.3300000001</v>
      </c>
      <c r="U21" s="18">
        <f>'Formato 6 a)'!G28</f>
        <v>7869030.4099999983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1720000</v>
      </c>
      <c r="Q22" s="18">
        <f>'Formato 6 a)'!C29</f>
        <v>400305.23</v>
      </c>
      <c r="R22" s="18">
        <f>'Formato 6 a)'!D29</f>
        <v>2120305.23</v>
      </c>
      <c r="S22" s="18">
        <f>'Formato 6 a)'!E29</f>
        <v>1714793.45</v>
      </c>
      <c r="T22" s="18">
        <f>'Formato 6 a)'!F29</f>
        <v>1714793.45</v>
      </c>
      <c r="U22" s="18">
        <f>'Formato 6 a)'!G29</f>
        <v>405511.78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267000</v>
      </c>
      <c r="Q23" s="18">
        <f>'Formato 6 a)'!C30</f>
        <v>33810</v>
      </c>
      <c r="R23" s="18">
        <f>'Formato 6 a)'!D30</f>
        <v>300810</v>
      </c>
      <c r="S23" s="18">
        <f>'Formato 6 a)'!E30</f>
        <v>131137.20000000001</v>
      </c>
      <c r="T23" s="18">
        <f>'Formato 6 a)'!F30</f>
        <v>131137.20000000001</v>
      </c>
      <c r="U23" s="18">
        <f>'Formato 6 a)'!G30</f>
        <v>169672.8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7000</v>
      </c>
      <c r="Q24" s="18">
        <f>'Formato 6 a)'!C31</f>
        <v>608000</v>
      </c>
      <c r="R24" s="18">
        <f>'Formato 6 a)'!D31</f>
        <v>615000</v>
      </c>
      <c r="S24" s="18">
        <f>'Formato 6 a)'!E31</f>
        <v>22040</v>
      </c>
      <c r="T24" s="18">
        <f>'Formato 6 a)'!F31</f>
        <v>22040</v>
      </c>
      <c r="U24" s="18">
        <f>'Formato 6 a)'!G31</f>
        <v>592960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290000</v>
      </c>
      <c r="Q25" s="18">
        <f>'Formato 6 a)'!C32</f>
        <v>-25250.75</v>
      </c>
      <c r="R25" s="18">
        <f>'Formato 6 a)'!D32</f>
        <v>264749.25</v>
      </c>
      <c r="S25" s="18">
        <f>'Formato 6 a)'!E32</f>
        <v>205143.55</v>
      </c>
      <c r="T25" s="18">
        <f>'Formato 6 a)'!F32</f>
        <v>205143.55</v>
      </c>
      <c r="U25" s="18">
        <f>'Formato 6 a)'!G32</f>
        <v>59605.700000000012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1091900</v>
      </c>
      <c r="Q26" s="18">
        <f>'Formato 6 a)'!C33</f>
        <v>822796.84</v>
      </c>
      <c r="R26" s="18">
        <f>'Formato 6 a)'!D33</f>
        <v>1914696.8399999999</v>
      </c>
      <c r="S26" s="18">
        <f>'Formato 6 a)'!E33</f>
        <v>1112168.6000000001</v>
      </c>
      <c r="T26" s="18">
        <f>'Formato 6 a)'!F33</f>
        <v>1112168.6000000001</v>
      </c>
      <c r="U26" s="18">
        <f>'Formato 6 a)'!G33</f>
        <v>802528.23999999976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328000</v>
      </c>
      <c r="Q27" s="18">
        <f>'Formato 6 a)'!C34</f>
        <v>-100000</v>
      </c>
      <c r="R27" s="18">
        <f>'Formato 6 a)'!D34</f>
        <v>228000</v>
      </c>
      <c r="S27" s="18">
        <f>'Formato 6 a)'!E34</f>
        <v>134824.06</v>
      </c>
      <c r="T27" s="18">
        <f>'Formato 6 a)'!F34</f>
        <v>134824.06</v>
      </c>
      <c r="U27" s="18">
        <f>'Formato 6 a)'!G34</f>
        <v>93175.94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447000</v>
      </c>
      <c r="Q28" s="18">
        <f>'Formato 6 a)'!C35</f>
        <v>348011.55</v>
      </c>
      <c r="R28" s="18">
        <f>'Formato 6 a)'!D35</f>
        <v>795011.55</v>
      </c>
      <c r="S28" s="18">
        <f>'Formato 6 a)'!E35</f>
        <v>520331.75</v>
      </c>
      <c r="T28" s="18">
        <f>'Formato 6 a)'!F35</f>
        <v>520331.75</v>
      </c>
      <c r="U28" s="18">
        <f>'Formato 6 a)'!G35</f>
        <v>274679.80000000005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6125000</v>
      </c>
      <c r="Q29" s="18">
        <f>'Formato 6 a)'!C36</f>
        <v>3066915.45</v>
      </c>
      <c r="R29" s="18">
        <f>'Formato 6 a)'!D36</f>
        <v>9191915.4499999993</v>
      </c>
      <c r="S29" s="18">
        <f>'Formato 6 a)'!E36</f>
        <v>3841629.72</v>
      </c>
      <c r="T29" s="18">
        <f>'Formato 6 a)'!F36</f>
        <v>3841629.72</v>
      </c>
      <c r="U29" s="18">
        <f>'Formato 6 a)'!G36</f>
        <v>5350285.7299999986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668810.42000000004</v>
      </c>
      <c r="Q30" s="18">
        <f>'Formato 6 a)'!C37</f>
        <v>-476</v>
      </c>
      <c r="R30" s="18">
        <f>'Formato 6 a)'!D37</f>
        <v>668334.42000000004</v>
      </c>
      <c r="S30" s="18">
        <f>'Formato 6 a)'!E37</f>
        <v>547724</v>
      </c>
      <c r="T30" s="18">
        <f>'Formato 6 a)'!F37</f>
        <v>547724</v>
      </c>
      <c r="U30" s="18">
        <f>'Formato 6 a)'!G37</f>
        <v>120610.42000000004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8013070.0999999996</v>
      </c>
      <c r="Q31" s="18">
        <f>'Formato 6 a)'!C38</f>
        <v>3311538.39</v>
      </c>
      <c r="R31" s="18">
        <f>'Formato 6 a)'!D38</f>
        <v>11324608.49</v>
      </c>
      <c r="S31" s="18">
        <f>'Formato 6 a)'!E38</f>
        <v>7965254.0600000005</v>
      </c>
      <c r="T31" s="18">
        <f>'Formato 6 a)'!F38</f>
        <v>7965254.0600000005</v>
      </c>
      <c r="U31" s="18">
        <f>'Formato 6 a)'!G38</f>
        <v>3359354.43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6050000</v>
      </c>
      <c r="Q33" s="18">
        <f>'Formato 6 a)'!C40</f>
        <v>0</v>
      </c>
      <c r="R33" s="18">
        <f>'Formato 6 a)'!D40</f>
        <v>6050000</v>
      </c>
      <c r="S33" s="18">
        <f>'Formato 6 a)'!E40</f>
        <v>4617500.03</v>
      </c>
      <c r="T33" s="18">
        <f>'Formato 6 a)'!F40</f>
        <v>4617500.03</v>
      </c>
      <c r="U33" s="18">
        <f>'Formato 6 a)'!G40</f>
        <v>1432499.9699999997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1963070.1</v>
      </c>
      <c r="Q35" s="18">
        <f>'Formato 6 a)'!C42</f>
        <v>3311538.39</v>
      </c>
      <c r="R35" s="18">
        <f>'Formato 6 a)'!D42</f>
        <v>5274608.49</v>
      </c>
      <c r="S35" s="18">
        <f>'Formato 6 a)'!E42</f>
        <v>3347754.03</v>
      </c>
      <c r="T35" s="18">
        <f>'Formato 6 a)'!F42</f>
        <v>3347754.03</v>
      </c>
      <c r="U35" s="18">
        <f>'Formato 6 a)'!G42</f>
        <v>1926854.4600000004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342000.08</v>
      </c>
      <c r="Q41" s="18">
        <f>'Formato 6 a)'!C48</f>
        <v>1713299</v>
      </c>
      <c r="R41" s="18">
        <f>'Formato 6 a)'!D48</f>
        <v>2055299.08</v>
      </c>
      <c r="S41" s="18">
        <f>'Formato 6 a)'!E48</f>
        <v>91181.5</v>
      </c>
      <c r="T41" s="18">
        <f>'Formato 6 a)'!F48</f>
        <v>91181.5</v>
      </c>
      <c r="U41" s="18">
        <f>'Formato 6 a)'!G48</f>
        <v>1964117.58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 t="e">
        <f>'Formato 6 a)'!#REF!</f>
        <v>#REF!</v>
      </c>
      <c r="Q42" s="18" t="e">
        <f>'Formato 6 a)'!#REF!</f>
        <v>#REF!</v>
      </c>
      <c r="R42" s="18" t="e">
        <f>'Formato 6 a)'!#REF!</f>
        <v>#REF!</v>
      </c>
      <c r="S42" s="18" t="e">
        <f>'Formato 6 a)'!#REF!</f>
        <v>#REF!</v>
      </c>
      <c r="T42" s="18" t="e">
        <f>'Formato 6 a)'!#REF!</f>
        <v>#REF!</v>
      </c>
      <c r="U42" s="18" t="e">
        <f>'Formato 6 a)'!#REF!</f>
        <v>#REF!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a)'!B49</f>
        <v>275000</v>
      </c>
      <c r="Q43" s="18">
        <f>'Formato 6 a)'!C49</f>
        <v>-16701</v>
      </c>
      <c r="R43" s="18">
        <f>'Formato 6 a)'!D49</f>
        <v>258299</v>
      </c>
      <c r="S43" s="18">
        <f>'Formato 6 a)'!E49</f>
        <v>77131.5</v>
      </c>
      <c r="T43" s="18">
        <f>'Formato 6 a)'!F49</f>
        <v>77131.5</v>
      </c>
      <c r="U43" s="18">
        <f>'Formato 6 a)'!G49</f>
        <v>181167.5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a)'!B50</f>
        <v>19000</v>
      </c>
      <c r="Q44" s="18">
        <f>'Formato 6 a)'!C50</f>
        <v>25000</v>
      </c>
      <c r="R44" s="18">
        <f>'Formato 6 a)'!D50</f>
        <v>44000</v>
      </c>
      <c r="S44" s="18">
        <f>'Formato 6 a)'!E50</f>
        <v>14050</v>
      </c>
      <c r="T44" s="18">
        <f>'Formato 6 a)'!F50</f>
        <v>14050</v>
      </c>
      <c r="U44" s="18">
        <f>'Formato 6 a)'!G50</f>
        <v>29950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a)'!B51</f>
        <v>0</v>
      </c>
      <c r="Q45" s="18">
        <f>'Formato 6 a)'!C51</f>
        <v>0</v>
      </c>
      <c r="R45" s="18">
        <f>'Formato 6 a)'!D51</f>
        <v>0</v>
      </c>
      <c r="S45" s="18">
        <f>'Formato 6 a)'!E51</f>
        <v>0</v>
      </c>
      <c r="T45" s="18">
        <f>'Formato 6 a)'!F51</f>
        <v>0</v>
      </c>
      <c r="U45" s="18">
        <f>'Formato 6 a)'!G51</f>
        <v>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a)'!B52</f>
        <v>0</v>
      </c>
      <c r="Q46" s="18">
        <f>'Formato 6 a)'!C52</f>
        <v>700000</v>
      </c>
      <c r="R46" s="18">
        <f>'Formato 6 a)'!D52</f>
        <v>700000</v>
      </c>
      <c r="S46" s="18">
        <f>'Formato 6 a)'!E52</f>
        <v>0</v>
      </c>
      <c r="T46" s="18">
        <f>'Formato 6 a)'!F52</f>
        <v>0</v>
      </c>
      <c r="U46" s="18">
        <f>'Formato 6 a)'!G52</f>
        <v>700000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a)'!B53</f>
        <v>0</v>
      </c>
      <c r="Q47" s="18">
        <f>'Formato 6 a)'!C53</f>
        <v>0</v>
      </c>
      <c r="R47" s="18">
        <f>'Formato 6 a)'!D53</f>
        <v>0</v>
      </c>
      <c r="S47" s="18">
        <f>'Formato 6 a)'!E53</f>
        <v>0</v>
      </c>
      <c r="T47" s="18">
        <f>'Formato 6 a)'!F53</f>
        <v>0</v>
      </c>
      <c r="U47" s="18">
        <f>'Formato 6 a)'!G53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a)'!B54</f>
        <v>41000.080000000002</v>
      </c>
      <c r="Q48" s="18">
        <f>'Formato 6 a)'!C54</f>
        <v>5000</v>
      </c>
      <c r="R48" s="18">
        <f>'Formato 6 a)'!D54</f>
        <v>46000.08</v>
      </c>
      <c r="S48" s="18">
        <f>'Formato 6 a)'!E54</f>
        <v>0</v>
      </c>
      <c r="T48" s="18">
        <f>'Formato 6 a)'!F54</f>
        <v>0</v>
      </c>
      <c r="U48" s="18">
        <f>'Formato 6 a)'!G54</f>
        <v>46000.08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a)'!B55</f>
        <v>0</v>
      </c>
      <c r="Q49" s="18">
        <f>'Formato 6 a)'!C55</f>
        <v>0</v>
      </c>
      <c r="R49" s="18">
        <f>'Formato 6 a)'!D55</f>
        <v>0</v>
      </c>
      <c r="S49" s="18">
        <f>'Formato 6 a)'!E55</f>
        <v>0</v>
      </c>
      <c r="T49" s="18">
        <f>'Formato 6 a)'!F55</f>
        <v>0</v>
      </c>
      <c r="U49" s="18">
        <f>'Formato 6 a)'!G55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a)'!B56</f>
        <v>0</v>
      </c>
      <c r="Q50" s="18">
        <f>'Formato 6 a)'!C56</f>
        <v>1000000</v>
      </c>
      <c r="R50" s="18">
        <f>'Formato 6 a)'!D56</f>
        <v>1000000</v>
      </c>
      <c r="S50" s="18">
        <f>'Formato 6 a)'!E56</f>
        <v>0</v>
      </c>
      <c r="T50" s="18">
        <f>'Formato 6 a)'!F56</f>
        <v>0</v>
      </c>
      <c r="U50" s="18">
        <f>'Formato 6 a)'!G56</f>
        <v>1000000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a)'!B57</f>
        <v>7000</v>
      </c>
      <c r="Q51" s="18">
        <f>'Formato 6 a)'!C57</f>
        <v>0</v>
      </c>
      <c r="R51" s="18">
        <f>'Formato 6 a)'!D57</f>
        <v>7000</v>
      </c>
      <c r="S51" s="18">
        <f>'Formato 6 a)'!E57</f>
        <v>0</v>
      </c>
      <c r="T51" s="18">
        <f>'Formato 6 a)'!F57</f>
        <v>0</v>
      </c>
      <c r="U51" s="18">
        <f>'Formato 6 a)'!G57</f>
        <v>7000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467928.36</v>
      </c>
      <c r="R52" s="18">
        <f>'Formato 6 a)'!D59</f>
        <v>467928.36</v>
      </c>
      <c r="S52" s="18">
        <f>'Formato 6 a)'!E59</f>
        <v>467928.36</v>
      </c>
      <c r="T52" s="18">
        <f>'Formato 6 a)'!F59</f>
        <v>467928.36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2000000</v>
      </c>
      <c r="Q55" s="18">
        <f>'Formato 6 a)'!C62</f>
        <v>-1880000</v>
      </c>
      <c r="R55" s="18">
        <f>'Formato 6 a)'!D62</f>
        <v>120000</v>
      </c>
      <c r="S55" s="18">
        <f>'Formato 6 a)'!E62</f>
        <v>0</v>
      </c>
      <c r="T55" s="18">
        <f>'Formato 6 a)'!F62</f>
        <v>0</v>
      </c>
      <c r="U55" s="18">
        <f>'Formato 6 a)'!G62</f>
        <v>120000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4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2000000</v>
      </c>
      <c r="Q63" s="18">
        <f>'Formato 6 a)'!C70</f>
        <v>-1880000</v>
      </c>
      <c r="R63" s="18">
        <f>'Formato 6 a)'!D70</f>
        <v>120000</v>
      </c>
      <c r="S63" s="18">
        <f>'Formato 6 a)'!E70</f>
        <v>0</v>
      </c>
      <c r="T63" s="18">
        <f>'Formato 6 a)'!F70</f>
        <v>0</v>
      </c>
      <c r="U63" s="18">
        <f>'Formato 6 a)'!G70</f>
        <v>120000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500000</v>
      </c>
      <c r="R64" s="18">
        <f>'Formato 6 a)'!D71</f>
        <v>500000</v>
      </c>
      <c r="S64" s="18">
        <f>'Formato 6 a)'!E71</f>
        <v>500000</v>
      </c>
      <c r="T64" s="18">
        <f>'Formato 6 a)'!F71</f>
        <v>500000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500000</v>
      </c>
      <c r="R67" s="18">
        <f>'Formato 6 a)'!D74</f>
        <v>500000</v>
      </c>
      <c r="S67" s="18">
        <f>'Formato 6 a)'!E74</f>
        <v>500000</v>
      </c>
      <c r="T67" s="18">
        <f>'Formato 6 a)'!F74</f>
        <v>500000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2025480</v>
      </c>
      <c r="R68" s="18">
        <f>'Formato 6 a)'!D75</f>
        <v>2025480</v>
      </c>
      <c r="S68" s="18">
        <f>'Formato 6 a)'!E75</f>
        <v>2025480</v>
      </c>
      <c r="T68" s="18">
        <f>'Formato 6 a)'!F75</f>
        <v>2025480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2000000</v>
      </c>
      <c r="R69" s="18">
        <f>'Formato 6 a)'!D76</f>
        <v>2000000</v>
      </c>
      <c r="S69" s="18">
        <f>'Formato 6 a)'!E76</f>
        <v>2000000</v>
      </c>
      <c r="T69" s="18">
        <f>'Formato 6 a)'!F76</f>
        <v>2000000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25480</v>
      </c>
      <c r="R70" s="18">
        <f>'Formato 6 a)'!D77</f>
        <v>25480</v>
      </c>
      <c r="S70" s="18">
        <f>'Formato 6 a)'!E77</f>
        <v>25480</v>
      </c>
      <c r="T70" s="18">
        <f>'Formato 6 a)'!F77</f>
        <v>25480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38900000</v>
      </c>
      <c r="Q76">
        <f>'Formato 6 a)'!C84</f>
        <v>22431887.109999999</v>
      </c>
      <c r="R76">
        <f>'Formato 6 a)'!D84</f>
        <v>61331887.110000007</v>
      </c>
      <c r="S76">
        <f>'Formato 6 a)'!E84</f>
        <v>18498886.009999998</v>
      </c>
      <c r="T76">
        <f>'Formato 6 a)'!F84</f>
        <v>18423346.009999998</v>
      </c>
      <c r="U76">
        <f>'Formato 6 a)'!G84</f>
        <v>42833001.100000001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8475223.7400000002</v>
      </c>
      <c r="Q77">
        <f>'Formato 6 a)'!C85</f>
        <v>977118.8</v>
      </c>
      <c r="R77">
        <f>'Formato 6 a)'!D85</f>
        <v>9452342.5399999991</v>
      </c>
      <c r="S77">
        <f>'Formato 6 a)'!E85</f>
        <v>5257315.3299999991</v>
      </c>
      <c r="T77">
        <f>'Formato 6 a)'!F85</f>
        <v>5181775.3299999991</v>
      </c>
      <c r="U77">
        <f>'Formato 6 a)'!G85</f>
        <v>4195027.21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6489019.0800000001</v>
      </c>
      <c r="Q78">
        <f>'Formato 6 a)'!C86</f>
        <v>385593.8</v>
      </c>
      <c r="R78">
        <f>'Formato 6 a)'!D86</f>
        <v>6874612.8799999999</v>
      </c>
      <c r="S78">
        <f>'Formato 6 a)'!E86</f>
        <v>4943999.0599999996</v>
      </c>
      <c r="T78">
        <f>'Formato 6 a)'!F86</f>
        <v>4943999.0599999996</v>
      </c>
      <c r="U78">
        <f>'Formato 6 a)'!G86</f>
        <v>1930613.8200000003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154000</v>
      </c>
      <c r="R79">
        <f>'Formato 6 a)'!D87</f>
        <v>154000</v>
      </c>
      <c r="S79">
        <f>'Formato 6 a)'!E87</f>
        <v>52873.32</v>
      </c>
      <c r="T79">
        <f>'Formato 6 a)'!F87</f>
        <v>52873.32</v>
      </c>
      <c r="U79">
        <f>'Formato 6 a)'!G87</f>
        <v>101126.68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1095453.07</v>
      </c>
      <c r="Q80">
        <f>'Formato 6 a)'!C88</f>
        <v>165000</v>
      </c>
      <c r="R80">
        <f>'Formato 6 a)'!D88</f>
        <v>1260453.07</v>
      </c>
      <c r="S80">
        <f>'Formato 6 a)'!E88</f>
        <v>85889.600000000006</v>
      </c>
      <c r="T80">
        <f>'Formato 6 a)'!F88</f>
        <v>85889.600000000006</v>
      </c>
      <c r="U80">
        <f>'Formato 6 a)'!G88</f>
        <v>1174563.47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350000</v>
      </c>
      <c r="Q81">
        <f>'Formato 6 a)'!C89</f>
        <v>-100000</v>
      </c>
      <c r="R81">
        <f>'Formato 6 a)'!D89</f>
        <v>250000</v>
      </c>
      <c r="S81">
        <f>'Formato 6 a)'!E89</f>
        <v>0</v>
      </c>
      <c r="T81">
        <f>'Formato 6 a)'!F89</f>
        <v>0</v>
      </c>
      <c r="U81">
        <f>'Formato 6 a)'!G89</f>
        <v>250000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540751.59</v>
      </c>
      <c r="Q82">
        <f>'Formato 6 a)'!C90</f>
        <v>372525</v>
      </c>
      <c r="R82">
        <f>'Formato 6 a)'!D90</f>
        <v>913276.59</v>
      </c>
      <c r="S82">
        <f>'Formato 6 a)'!E90</f>
        <v>174553.35</v>
      </c>
      <c r="T82">
        <f>'Formato 6 a)'!F90</f>
        <v>99013.35</v>
      </c>
      <c r="U82">
        <f>'Formato 6 a)'!G90</f>
        <v>738723.24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1961000</v>
      </c>
      <c r="Q85">
        <f>'Formato 6 a)'!C93</f>
        <v>2257743.0299999998</v>
      </c>
      <c r="R85">
        <f>'Formato 6 a)'!D93</f>
        <v>4218743.0299999993</v>
      </c>
      <c r="S85">
        <f>'Formato 6 a)'!E93</f>
        <v>2271885.36</v>
      </c>
      <c r="T85">
        <f>'Formato 6 a)'!F93</f>
        <v>2271885.36</v>
      </c>
      <c r="U85">
        <f>'Formato 6 a)'!G93</f>
        <v>1946857.67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49000</v>
      </c>
      <c r="Q86">
        <f>'Formato 6 a)'!C94</f>
        <v>18000</v>
      </c>
      <c r="R86">
        <f>'Formato 6 a)'!D94</f>
        <v>67000</v>
      </c>
      <c r="S86">
        <f>'Formato 6 a)'!E94</f>
        <v>12509.91</v>
      </c>
      <c r="T86">
        <f>'Formato 6 a)'!F94</f>
        <v>12509.91</v>
      </c>
      <c r="U86">
        <f>'Formato 6 a)'!G94</f>
        <v>54490.09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105000</v>
      </c>
      <c r="Q87">
        <f>'Formato 6 a)'!C95</f>
        <v>132200</v>
      </c>
      <c r="R87">
        <f>'Formato 6 a)'!D95</f>
        <v>237200</v>
      </c>
      <c r="S87">
        <f>'Formato 6 a)'!E95</f>
        <v>150047.6</v>
      </c>
      <c r="T87">
        <f>'Formato 6 a)'!F95</f>
        <v>150047.6</v>
      </c>
      <c r="U87">
        <f>'Formato 6 a)'!G95</f>
        <v>87152.4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205000</v>
      </c>
      <c r="Q89">
        <f>'Formato 6 a)'!C97</f>
        <v>-50000</v>
      </c>
      <c r="R89">
        <f>'Formato 6 a)'!D97</f>
        <v>155000</v>
      </c>
      <c r="S89">
        <f>'Formato 6 a)'!E97</f>
        <v>88899.86</v>
      </c>
      <c r="T89">
        <f>'Formato 6 a)'!F97</f>
        <v>88899.86</v>
      </c>
      <c r="U89">
        <f>'Formato 6 a)'!G97</f>
        <v>66100.14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13000</v>
      </c>
      <c r="Q90">
        <f>'Formato 6 a)'!C98</f>
        <v>0</v>
      </c>
      <c r="R90">
        <f>'Formato 6 a)'!D98</f>
        <v>13000</v>
      </c>
      <c r="S90">
        <f>'Formato 6 a)'!E98</f>
        <v>1995.28</v>
      </c>
      <c r="T90">
        <f>'Formato 6 a)'!F98</f>
        <v>1995.28</v>
      </c>
      <c r="U90">
        <f>'Formato 6 a)'!G98</f>
        <v>11004.72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1360000</v>
      </c>
      <c r="Q91">
        <f>'Formato 6 a)'!C99</f>
        <v>2107543.0299999998</v>
      </c>
      <c r="R91">
        <f>'Formato 6 a)'!D99</f>
        <v>3467543.03</v>
      </c>
      <c r="S91">
        <f>'Formato 6 a)'!E99</f>
        <v>1838831.08</v>
      </c>
      <c r="T91">
        <f>'Formato 6 a)'!F99</f>
        <v>1838831.08</v>
      </c>
      <c r="U91">
        <f>'Formato 6 a)'!G99</f>
        <v>1628711.9499999997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229000</v>
      </c>
      <c r="Q92">
        <f>'Formato 6 a)'!C100</f>
        <v>50000</v>
      </c>
      <c r="R92">
        <f>'Formato 6 a)'!D100</f>
        <v>279000</v>
      </c>
      <c r="S92">
        <f>'Formato 6 a)'!E100</f>
        <v>179601.63</v>
      </c>
      <c r="T92">
        <f>'Formato 6 a)'!F100</f>
        <v>179601.63</v>
      </c>
      <c r="U92">
        <f>'Formato 6 a)'!G100</f>
        <v>99398.37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793776.26</v>
      </c>
      <c r="Q95">
        <f>'Formato 6 a)'!C103</f>
        <v>1772109.69</v>
      </c>
      <c r="R95">
        <f>'Formato 6 a)'!D103</f>
        <v>2565885.9499999997</v>
      </c>
      <c r="S95">
        <f>'Formato 6 a)'!E103</f>
        <v>797901.64999999991</v>
      </c>
      <c r="T95">
        <f>'Formato 6 a)'!F103</f>
        <v>797901.64999999991</v>
      </c>
      <c r="U95">
        <f>'Formato 6 a)'!G103</f>
        <v>1767984.3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202000</v>
      </c>
      <c r="Q96">
        <f>'Formato 6 a)'!C104</f>
        <v>0</v>
      </c>
      <c r="R96">
        <f>'Formato 6 a)'!D104</f>
        <v>202000</v>
      </c>
      <c r="S96">
        <f>'Formato 6 a)'!E104</f>
        <v>66861</v>
      </c>
      <c r="T96">
        <f>'Formato 6 a)'!F104</f>
        <v>66861</v>
      </c>
      <c r="U96">
        <f>'Formato 6 a)'!G104</f>
        <v>135139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9000</v>
      </c>
      <c r="Q97">
        <f>'Formato 6 a)'!C105</f>
        <v>800000</v>
      </c>
      <c r="R97">
        <f>'Formato 6 a)'!D105</f>
        <v>809000</v>
      </c>
      <c r="S97">
        <f>'Formato 6 a)'!E105</f>
        <v>0</v>
      </c>
      <c r="T97">
        <f>'Formato 6 a)'!F105</f>
        <v>0</v>
      </c>
      <c r="U97">
        <f>'Formato 6 a)'!G105</f>
        <v>809000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962644.09</v>
      </c>
      <c r="R98">
        <f>'Formato 6 a)'!D106</f>
        <v>962644.09</v>
      </c>
      <c r="S98">
        <f>'Formato 6 a)'!E106</f>
        <v>373226.82</v>
      </c>
      <c r="T98">
        <f>'Formato 6 a)'!F106</f>
        <v>373226.82</v>
      </c>
      <c r="U98">
        <f>'Formato 6 a)'!G106</f>
        <v>589417.27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122000</v>
      </c>
      <c r="Q99">
        <f>'Formato 6 a)'!C107</f>
        <v>0</v>
      </c>
      <c r="R99">
        <f>'Formato 6 a)'!D107</f>
        <v>122000</v>
      </c>
      <c r="S99">
        <f>'Formato 6 a)'!E107</f>
        <v>44959.91</v>
      </c>
      <c r="T99">
        <f>'Formato 6 a)'!F107</f>
        <v>44959.91</v>
      </c>
      <c r="U99">
        <f>'Formato 6 a)'!G107</f>
        <v>77040.09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412776.26</v>
      </c>
      <c r="Q100">
        <f>'Formato 6 a)'!C108</f>
        <v>9465.6</v>
      </c>
      <c r="R100">
        <f>'Formato 6 a)'!D108</f>
        <v>422241.86</v>
      </c>
      <c r="S100">
        <f>'Formato 6 a)'!E108</f>
        <v>296809.42</v>
      </c>
      <c r="T100">
        <f>'Formato 6 a)'!F108</f>
        <v>296809.42</v>
      </c>
      <c r="U100">
        <f>'Formato 6 a)'!G108</f>
        <v>125432.44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4000</v>
      </c>
      <c r="Q101">
        <f>'Formato 6 a)'!C109</f>
        <v>0</v>
      </c>
      <c r="R101">
        <f>'Formato 6 a)'!D109</f>
        <v>4000</v>
      </c>
      <c r="S101">
        <f>'Formato 6 a)'!E109</f>
        <v>1740</v>
      </c>
      <c r="T101">
        <f>'Formato 6 a)'!F109</f>
        <v>1740</v>
      </c>
      <c r="U101">
        <f>'Formato 6 a)'!G109</f>
        <v>2260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44000</v>
      </c>
      <c r="Q102">
        <f>'Formato 6 a)'!C110</f>
        <v>0</v>
      </c>
      <c r="R102">
        <f>'Formato 6 a)'!D110</f>
        <v>44000</v>
      </c>
      <c r="S102">
        <f>'Formato 6 a)'!E110</f>
        <v>14304.5</v>
      </c>
      <c r="T102">
        <f>'Formato 6 a)'!F110</f>
        <v>14304.5</v>
      </c>
      <c r="U102">
        <f>'Formato 6 a)'!G110</f>
        <v>29695.5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8550000</v>
      </c>
      <c r="Q105">
        <f>'Formato 6 a)'!C113</f>
        <v>6609118.3700000001</v>
      </c>
      <c r="R105">
        <f>'Formato 6 a)'!D113</f>
        <v>15159118.370000001</v>
      </c>
      <c r="S105">
        <f>'Formato 6 a)'!E113</f>
        <v>4348531.54</v>
      </c>
      <c r="T105">
        <f>'Formato 6 a)'!F113</f>
        <v>4348531.54</v>
      </c>
      <c r="U105">
        <f>'Formato 6 a)'!G113</f>
        <v>10810586.83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2000000</v>
      </c>
      <c r="Q108">
        <f>'Formato 6 a)'!C116</f>
        <v>1429706.84</v>
      </c>
      <c r="R108">
        <f>'Formato 6 a)'!D116</f>
        <v>3429706.84</v>
      </c>
      <c r="S108">
        <f>'Formato 6 a)'!E116</f>
        <v>3285775.33</v>
      </c>
      <c r="T108">
        <f>'Formato 6 a)'!F116</f>
        <v>3285775.33</v>
      </c>
      <c r="U108">
        <f>'Formato 6 a)'!G116</f>
        <v>143931.50999999978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6550000</v>
      </c>
      <c r="Q109">
        <f>'Formato 6 a)'!C117</f>
        <v>5179411.53</v>
      </c>
      <c r="R109">
        <f>'Formato 6 a)'!D117</f>
        <v>11729411.530000001</v>
      </c>
      <c r="S109">
        <f>'Formato 6 a)'!E117</f>
        <v>1062756.21</v>
      </c>
      <c r="T109">
        <f>'Formato 6 a)'!F117</f>
        <v>1062756.21</v>
      </c>
      <c r="U109">
        <f>'Formato 6 a)'!G117</f>
        <v>10666655.32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70000</v>
      </c>
      <c r="Q115">
        <f>'Formato 6 a)'!C123</f>
        <v>532000</v>
      </c>
      <c r="R115">
        <f>'Formato 6 a)'!D123</f>
        <v>602000</v>
      </c>
      <c r="S115">
        <f>'Formato 6 a)'!E123</f>
        <v>0</v>
      </c>
      <c r="T115">
        <f>'Formato 6 a)'!F123</f>
        <v>0</v>
      </c>
      <c r="U115">
        <f>'Formato 6 a)'!G123</f>
        <v>602000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40000</v>
      </c>
      <c r="Q116">
        <f>'Formato 6 a)'!C124</f>
        <v>32000</v>
      </c>
      <c r="R116">
        <f>'Formato 6 a)'!D124</f>
        <v>72000</v>
      </c>
      <c r="S116">
        <f>'Formato 6 a)'!E124</f>
        <v>0</v>
      </c>
      <c r="T116">
        <f>'Formato 6 a)'!F124</f>
        <v>0</v>
      </c>
      <c r="U116">
        <f>'Formato 6 a)'!G124</f>
        <v>72000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500000</v>
      </c>
      <c r="R119">
        <f>'Formato 6 a)'!D127</f>
        <v>500000</v>
      </c>
      <c r="S119">
        <f>'Formato 6 a)'!E127</f>
        <v>0</v>
      </c>
      <c r="T119">
        <f>'Formato 6 a)'!F127</f>
        <v>0</v>
      </c>
      <c r="U119">
        <f>'Formato 6 a)'!G127</f>
        <v>500000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30000</v>
      </c>
      <c r="Q121">
        <f>'Formato 6 a)'!C129</f>
        <v>0</v>
      </c>
      <c r="R121">
        <f>'Formato 6 a)'!D129</f>
        <v>30000</v>
      </c>
      <c r="S121">
        <f>'Formato 6 a)'!E129</f>
        <v>0</v>
      </c>
      <c r="T121">
        <f>'Formato 6 a)'!F129</f>
        <v>0</v>
      </c>
      <c r="U121">
        <f>'Formato 6 a)'!G129</f>
        <v>30000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19050000</v>
      </c>
      <c r="Q125">
        <f>'Formato 6 a)'!C133</f>
        <v>5457989.1200000001</v>
      </c>
      <c r="R125">
        <f>'Formato 6 a)'!D133</f>
        <v>24507989.120000001</v>
      </c>
      <c r="S125">
        <f>'Formato 6 a)'!E133</f>
        <v>2120286.71</v>
      </c>
      <c r="T125">
        <f>'Formato 6 a)'!F133</f>
        <v>2120286.71</v>
      </c>
      <c r="U125">
        <f>'Formato 6 a)'!G133</f>
        <v>22387702.41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19050000</v>
      </c>
      <c r="Q126">
        <f>'Formato 6 a)'!C134</f>
        <v>5457989.1200000001</v>
      </c>
      <c r="R126">
        <f>'Formato 6 a)'!D134</f>
        <v>24507989.120000001</v>
      </c>
      <c r="S126">
        <f>'Formato 6 a)'!E134</f>
        <v>2120286.71</v>
      </c>
      <c r="T126">
        <f>'Formato 6 a)'!F134</f>
        <v>2120286.71</v>
      </c>
      <c r="U126">
        <f>'Formato 6 a)'!G134</f>
        <v>22387702.41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4825808.0999999996</v>
      </c>
      <c r="R138">
        <f>'Formato 6 a)'!D146</f>
        <v>4825808.0999999996</v>
      </c>
      <c r="S138">
        <f>'Formato 6 a)'!E146</f>
        <v>3702965.42</v>
      </c>
      <c r="T138">
        <f>'Formato 6 a)'!F146</f>
        <v>3702965.42</v>
      </c>
      <c r="U138">
        <f>'Formato 6 a)'!G146</f>
        <v>1122842.6799999997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4825808.0999999996</v>
      </c>
      <c r="R141">
        <f>'Formato 6 a)'!D149</f>
        <v>4825808.0999999996</v>
      </c>
      <c r="S141">
        <f>'Formato 6 a)'!E149</f>
        <v>3702965.42</v>
      </c>
      <c r="T141">
        <f>'Formato 6 a)'!F149</f>
        <v>3702965.42</v>
      </c>
      <c r="U141">
        <f>'Formato 6 a)'!G149</f>
        <v>1122842.6799999997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94839000</v>
      </c>
      <c r="Q150">
        <f>'Formato 6 a)'!C159</f>
        <v>38599726</v>
      </c>
      <c r="R150">
        <f>'Formato 6 a)'!D159</f>
        <v>133438726</v>
      </c>
      <c r="S150">
        <f>'Formato 6 a)'!E159</f>
        <v>60582670.610000007</v>
      </c>
      <c r="T150">
        <f>'Formato 6 a)'!F159</f>
        <v>60507130.610000007</v>
      </c>
      <c r="U150">
        <f>'Formato 6 a)'!G159</f>
        <v>72856055.390000001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topLeftCell="A10" zoomScale="90" zoomScaleNormal="90" workbookViewId="0">
      <selection activeCell="D15" sqref="D15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208" t="s">
        <v>3290</v>
      </c>
      <c r="B1" s="208"/>
      <c r="C1" s="208"/>
      <c r="D1" s="208"/>
      <c r="E1" s="208"/>
      <c r="F1" s="208"/>
      <c r="G1" s="208"/>
    </row>
    <row r="2" spans="1:7" x14ac:dyDescent="0.25">
      <c r="A2" s="189" t="str">
        <f>ENTE_PUBLICO_A</f>
        <v>Municipio de Tierra Blanca Guanajuato, Gobierno del Estado de Guanajuato (a)</v>
      </c>
      <c r="B2" s="190"/>
      <c r="C2" s="190"/>
      <c r="D2" s="190"/>
      <c r="E2" s="190"/>
      <c r="F2" s="190"/>
      <c r="G2" s="191"/>
    </row>
    <row r="3" spans="1:7" x14ac:dyDescent="0.25">
      <c r="A3" s="192" t="s">
        <v>277</v>
      </c>
      <c r="B3" s="193"/>
      <c r="C3" s="193"/>
      <c r="D3" s="193"/>
      <c r="E3" s="193"/>
      <c r="F3" s="193"/>
      <c r="G3" s="194"/>
    </row>
    <row r="4" spans="1:7" x14ac:dyDescent="0.25">
      <c r="A4" s="192" t="s">
        <v>431</v>
      </c>
      <c r="B4" s="193"/>
      <c r="C4" s="193"/>
      <c r="D4" s="193"/>
      <c r="E4" s="193"/>
      <c r="F4" s="193"/>
      <c r="G4" s="194"/>
    </row>
    <row r="5" spans="1:7" x14ac:dyDescent="0.25">
      <c r="A5" s="195" t="str">
        <f>TRIMESTRE</f>
        <v>Del 1 de enero al 30 de septiembre de 2022 (b)</v>
      </c>
      <c r="B5" s="196"/>
      <c r="C5" s="196"/>
      <c r="D5" s="196"/>
      <c r="E5" s="196"/>
      <c r="F5" s="196"/>
      <c r="G5" s="197"/>
    </row>
    <row r="6" spans="1:7" x14ac:dyDescent="0.25">
      <c r="A6" s="198" t="s">
        <v>118</v>
      </c>
      <c r="B6" s="199"/>
      <c r="C6" s="199"/>
      <c r="D6" s="199"/>
      <c r="E6" s="199"/>
      <c r="F6" s="199"/>
      <c r="G6" s="200"/>
    </row>
    <row r="7" spans="1:7" x14ac:dyDescent="0.25">
      <c r="A7" s="204" t="s">
        <v>0</v>
      </c>
      <c r="B7" s="206" t="s">
        <v>279</v>
      </c>
      <c r="C7" s="206"/>
      <c r="D7" s="206"/>
      <c r="E7" s="206"/>
      <c r="F7" s="206"/>
      <c r="G7" s="210" t="s">
        <v>280</v>
      </c>
    </row>
    <row r="8" spans="1:7" ht="30" x14ac:dyDescent="0.25">
      <c r="A8" s="205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209"/>
    </row>
    <row r="9" spans="1:7" x14ac:dyDescent="0.25">
      <c r="A9" s="52" t="s">
        <v>440</v>
      </c>
      <c r="B9" s="59">
        <f>SUM(B10:GASTO_NE_FIN_01)</f>
        <v>55939000</v>
      </c>
      <c r="C9" s="59">
        <f>SUM(C10:GASTO_NE_FIN_02)</f>
        <v>16167838.890000001</v>
      </c>
      <c r="D9" s="59">
        <f>SUM(D10:GASTO_NE_FIN_03)</f>
        <v>72106838.890000001</v>
      </c>
      <c r="E9" s="59">
        <f>SUM(E10:GASTO_NE_FIN_04)</f>
        <v>42083784.600000001</v>
      </c>
      <c r="F9" s="59">
        <f>SUM(F10:GASTO_NE_FIN_05)</f>
        <v>42083784.600000001</v>
      </c>
      <c r="G9" s="59">
        <f>SUM(G10:GASTO_NE_FIN_06)</f>
        <v>30023054.289999999</v>
      </c>
    </row>
    <row r="10" spans="1:7" s="24" customFormat="1" x14ac:dyDescent="0.25">
      <c r="A10" s="140" t="s">
        <v>432</v>
      </c>
      <c r="B10" s="178">
        <v>55939000</v>
      </c>
      <c r="C10" s="178">
        <v>0</v>
      </c>
      <c r="D10" s="178">
        <f>B10+C10</f>
        <v>55939000</v>
      </c>
      <c r="E10" s="178">
        <v>42083784.600000001</v>
      </c>
      <c r="F10" s="178">
        <v>42083784.600000001</v>
      </c>
      <c r="G10" s="180">
        <f>D10-E10</f>
        <v>13855215.399999999</v>
      </c>
    </row>
    <row r="11" spans="1:7" s="24" customFormat="1" x14ac:dyDescent="0.25">
      <c r="A11" s="140" t="s">
        <v>433</v>
      </c>
      <c r="B11" s="178">
        <v>0</v>
      </c>
      <c r="C11" s="178">
        <v>16167838.890000001</v>
      </c>
      <c r="D11" s="178">
        <f t="shared" ref="D11:D17" si="0">B11+C11</f>
        <v>16167838.890000001</v>
      </c>
      <c r="E11" s="178">
        <v>0</v>
      </c>
      <c r="F11" s="178">
        <v>0</v>
      </c>
      <c r="G11" s="180">
        <f t="shared" ref="G11:G17" si="1">D11-E11</f>
        <v>16167838.890000001</v>
      </c>
    </row>
    <row r="12" spans="1:7" s="24" customFormat="1" ht="14.25" customHeight="1" x14ac:dyDescent="0.25">
      <c r="A12" s="140" t="s">
        <v>434</v>
      </c>
      <c r="B12" s="180">
        <v>0</v>
      </c>
      <c r="C12" s="180">
        <v>0</v>
      </c>
      <c r="D12" s="180">
        <f t="shared" si="0"/>
        <v>0</v>
      </c>
      <c r="E12" s="180">
        <v>0</v>
      </c>
      <c r="F12" s="180">
        <v>0</v>
      </c>
      <c r="G12" s="180">
        <f t="shared" si="1"/>
        <v>0</v>
      </c>
    </row>
    <row r="13" spans="1:7" s="24" customFormat="1" ht="14.25" customHeight="1" x14ac:dyDescent="0.25">
      <c r="A13" s="140" t="s">
        <v>435</v>
      </c>
      <c r="B13" s="180">
        <v>0</v>
      </c>
      <c r="C13" s="180">
        <v>0</v>
      </c>
      <c r="D13" s="180">
        <f t="shared" si="0"/>
        <v>0</v>
      </c>
      <c r="E13" s="180">
        <v>0</v>
      </c>
      <c r="F13" s="180">
        <v>0</v>
      </c>
      <c r="G13" s="180">
        <f t="shared" si="1"/>
        <v>0</v>
      </c>
    </row>
    <row r="14" spans="1:7" s="24" customFormat="1" ht="14.25" customHeight="1" x14ac:dyDescent="0.25">
      <c r="A14" s="140" t="s">
        <v>436</v>
      </c>
      <c r="B14" s="180">
        <v>0</v>
      </c>
      <c r="C14" s="180">
        <v>0</v>
      </c>
      <c r="D14" s="180">
        <f t="shared" si="0"/>
        <v>0</v>
      </c>
      <c r="E14" s="180">
        <v>0</v>
      </c>
      <c r="F14" s="180">
        <v>0</v>
      </c>
      <c r="G14" s="180">
        <f t="shared" si="1"/>
        <v>0</v>
      </c>
    </row>
    <row r="15" spans="1:7" s="24" customFormat="1" ht="14.25" customHeight="1" x14ac:dyDescent="0.25">
      <c r="A15" s="140" t="s">
        <v>437</v>
      </c>
      <c r="B15" s="180">
        <v>0</v>
      </c>
      <c r="C15" s="180">
        <v>0</v>
      </c>
      <c r="D15" s="180">
        <f t="shared" si="0"/>
        <v>0</v>
      </c>
      <c r="E15" s="180">
        <v>0</v>
      </c>
      <c r="F15" s="180">
        <v>0</v>
      </c>
      <c r="G15" s="180">
        <f t="shared" si="1"/>
        <v>0</v>
      </c>
    </row>
    <row r="16" spans="1:7" s="24" customFormat="1" ht="14.25" customHeight="1" x14ac:dyDescent="0.25">
      <c r="A16" s="140" t="s">
        <v>438</v>
      </c>
      <c r="B16" s="180">
        <v>0</v>
      </c>
      <c r="C16" s="180">
        <v>0</v>
      </c>
      <c r="D16" s="180">
        <f t="shared" si="0"/>
        <v>0</v>
      </c>
      <c r="E16" s="180">
        <v>0</v>
      </c>
      <c r="F16" s="180">
        <v>0</v>
      </c>
      <c r="G16" s="180">
        <f t="shared" si="1"/>
        <v>0</v>
      </c>
    </row>
    <row r="17" spans="1:7" s="24" customFormat="1" ht="14.25" customHeight="1" x14ac:dyDescent="0.25">
      <c r="A17" s="140" t="s">
        <v>439</v>
      </c>
      <c r="B17" s="180">
        <v>0</v>
      </c>
      <c r="C17" s="180">
        <v>0</v>
      </c>
      <c r="D17" s="180">
        <f t="shared" si="0"/>
        <v>0</v>
      </c>
      <c r="E17" s="180">
        <v>0</v>
      </c>
      <c r="F17" s="180">
        <v>0</v>
      </c>
      <c r="G17" s="180">
        <f t="shared" si="1"/>
        <v>0</v>
      </c>
    </row>
    <row r="18" spans="1:7" x14ac:dyDescent="0.25">
      <c r="A18" s="75" t="s">
        <v>686</v>
      </c>
      <c r="B18" s="54"/>
      <c r="C18" s="54"/>
      <c r="D18" s="54"/>
      <c r="E18" s="54"/>
      <c r="F18" s="54"/>
      <c r="G18" s="54"/>
    </row>
    <row r="19" spans="1:7" s="24" customFormat="1" x14ac:dyDescent="0.25">
      <c r="A19" s="55" t="s">
        <v>441</v>
      </c>
      <c r="B19" s="61">
        <f>SUM(B20:GASTO_E_FIN_01)</f>
        <v>38900000</v>
      </c>
      <c r="C19" s="61">
        <f>SUM(C20:GASTO_E_FIN_02)</f>
        <v>22431887.109999999</v>
      </c>
      <c r="D19" s="61">
        <f>SUM(D20:GASTO_E_FIN_03)</f>
        <v>61331887.109999999</v>
      </c>
      <c r="E19" s="61">
        <f>SUM(E20:GASTO_E_FIN_04)</f>
        <v>18498886.010000002</v>
      </c>
      <c r="F19" s="61">
        <f>SUM(F20:GASTO_E_FIN_05)</f>
        <v>18423346.010000002</v>
      </c>
      <c r="G19" s="61">
        <f>SUM(G20:GASTO_E_FIN_06)</f>
        <v>42833001.099999994</v>
      </c>
    </row>
    <row r="20" spans="1:7" s="24" customFormat="1" x14ac:dyDescent="0.25">
      <c r="A20" s="140" t="s">
        <v>432</v>
      </c>
      <c r="B20" s="178">
        <v>38900000</v>
      </c>
      <c r="C20" s="166">
        <v>22431887.109999999</v>
      </c>
      <c r="D20" s="180">
        <f t="shared" ref="D20:D27" si="2">B20+C20</f>
        <v>61331887.109999999</v>
      </c>
      <c r="E20" s="178">
        <v>18498886.010000002</v>
      </c>
      <c r="F20" s="178">
        <v>18423346.010000002</v>
      </c>
      <c r="G20" s="165">
        <f t="shared" ref="G20:G27" si="3">D20-E20</f>
        <v>42833001.099999994</v>
      </c>
    </row>
    <row r="21" spans="1:7" s="24" customFormat="1" x14ac:dyDescent="0.25">
      <c r="A21" s="140" t="s">
        <v>433</v>
      </c>
      <c r="B21" s="180">
        <v>0</v>
      </c>
      <c r="C21" s="60">
        <v>0</v>
      </c>
      <c r="D21" s="180">
        <f t="shared" si="2"/>
        <v>0</v>
      </c>
      <c r="E21" s="180">
        <v>0</v>
      </c>
      <c r="F21" s="180">
        <v>0</v>
      </c>
      <c r="G21" s="60">
        <f t="shared" si="3"/>
        <v>0</v>
      </c>
    </row>
    <row r="22" spans="1:7" s="24" customFormat="1" x14ac:dyDescent="0.25">
      <c r="A22" s="140" t="s">
        <v>434</v>
      </c>
      <c r="B22" s="180">
        <v>0</v>
      </c>
      <c r="C22" s="60">
        <v>0</v>
      </c>
      <c r="D22" s="180">
        <f t="shared" si="2"/>
        <v>0</v>
      </c>
      <c r="E22" s="180">
        <v>0</v>
      </c>
      <c r="F22" s="180">
        <v>0</v>
      </c>
      <c r="G22" s="60">
        <f t="shared" si="3"/>
        <v>0</v>
      </c>
    </row>
    <row r="23" spans="1:7" s="24" customFormat="1" x14ac:dyDescent="0.25">
      <c r="A23" s="140" t="s">
        <v>435</v>
      </c>
      <c r="B23" s="180">
        <v>0</v>
      </c>
      <c r="C23" s="60">
        <v>0</v>
      </c>
      <c r="D23" s="180">
        <f t="shared" si="2"/>
        <v>0</v>
      </c>
      <c r="E23" s="180">
        <v>0</v>
      </c>
      <c r="F23" s="180">
        <v>0</v>
      </c>
      <c r="G23" s="60">
        <f t="shared" si="3"/>
        <v>0</v>
      </c>
    </row>
    <row r="24" spans="1:7" s="24" customFormat="1" x14ac:dyDescent="0.25">
      <c r="A24" s="140" t="s">
        <v>436</v>
      </c>
      <c r="B24" s="180">
        <v>0</v>
      </c>
      <c r="C24" s="60">
        <v>0</v>
      </c>
      <c r="D24" s="180">
        <f t="shared" si="2"/>
        <v>0</v>
      </c>
      <c r="E24" s="180">
        <v>0</v>
      </c>
      <c r="F24" s="180">
        <v>0</v>
      </c>
      <c r="G24" s="60">
        <f t="shared" si="3"/>
        <v>0</v>
      </c>
    </row>
    <row r="25" spans="1:7" s="24" customFormat="1" x14ac:dyDescent="0.25">
      <c r="A25" s="140" t="s">
        <v>437</v>
      </c>
      <c r="B25" s="180">
        <v>0</v>
      </c>
      <c r="C25" s="60">
        <v>0</v>
      </c>
      <c r="D25" s="180">
        <f t="shared" si="2"/>
        <v>0</v>
      </c>
      <c r="E25" s="180">
        <v>0</v>
      </c>
      <c r="F25" s="180">
        <v>0</v>
      </c>
      <c r="G25" s="60">
        <f t="shared" si="3"/>
        <v>0</v>
      </c>
    </row>
    <row r="26" spans="1:7" s="24" customFormat="1" x14ac:dyDescent="0.25">
      <c r="A26" s="140" t="s">
        <v>438</v>
      </c>
      <c r="B26" s="180">
        <v>0</v>
      </c>
      <c r="C26" s="60">
        <v>0</v>
      </c>
      <c r="D26" s="180">
        <f t="shared" si="2"/>
        <v>0</v>
      </c>
      <c r="E26" s="180">
        <v>0</v>
      </c>
      <c r="F26" s="180">
        <v>0</v>
      </c>
      <c r="G26" s="60">
        <f t="shared" si="3"/>
        <v>0</v>
      </c>
    </row>
    <row r="27" spans="1:7" s="24" customFormat="1" x14ac:dyDescent="0.25">
      <c r="A27" s="140" t="s">
        <v>439</v>
      </c>
      <c r="B27" s="180">
        <v>0</v>
      </c>
      <c r="C27" s="60">
        <v>0</v>
      </c>
      <c r="D27" s="180">
        <f t="shared" si="2"/>
        <v>0</v>
      </c>
      <c r="E27" s="180">
        <v>0</v>
      </c>
      <c r="F27" s="180">
        <v>0</v>
      </c>
      <c r="G27" s="60">
        <f t="shared" si="3"/>
        <v>0</v>
      </c>
    </row>
    <row r="28" spans="1:7" x14ac:dyDescent="0.25">
      <c r="A28" s="75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94839000</v>
      </c>
      <c r="C29" s="61">
        <f>GASTO_NE_T2+GASTO_E_T2</f>
        <v>38599726</v>
      </c>
      <c r="D29" s="61">
        <f>GASTO_NE_T3+GASTO_E_T3</f>
        <v>133438726</v>
      </c>
      <c r="E29" s="61">
        <f>GASTO_NE_T4+GASTO_E_T4</f>
        <v>60582670.609999999</v>
      </c>
      <c r="F29" s="61">
        <f>GASTO_NE_T5+GASTO_E_T5</f>
        <v>60507130.609999999</v>
      </c>
      <c r="G29" s="61">
        <f>GASTO_NE_T6+GASTO_E_T6</f>
        <v>72856055.389999986</v>
      </c>
    </row>
    <row r="30" spans="1:7" x14ac:dyDescent="0.25">
      <c r="A30" s="58"/>
      <c r="B30" s="65"/>
      <c r="C30" s="65"/>
      <c r="D30" s="65"/>
      <c r="E30" s="65"/>
      <c r="F30" s="65"/>
      <c r="G30" s="77"/>
    </row>
    <row r="31" spans="1:7" hidden="1" x14ac:dyDescent="0.2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55939000</v>
      </c>
      <c r="Q2" s="18">
        <f>GASTO_NE_T2</f>
        <v>16167838.890000001</v>
      </c>
      <c r="R2" s="18">
        <f>GASTO_NE_T3</f>
        <v>72106838.890000001</v>
      </c>
      <c r="S2" s="18">
        <f>GASTO_NE_T4</f>
        <v>42083784.600000001</v>
      </c>
      <c r="T2" s="18">
        <f>GASTO_NE_T5</f>
        <v>42083784.600000001</v>
      </c>
      <c r="U2" s="18">
        <f>GASTO_NE_T6</f>
        <v>30023054.289999999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38900000</v>
      </c>
      <c r="Q3" s="18">
        <f>GASTO_E_T2</f>
        <v>22431887.109999999</v>
      </c>
      <c r="R3" s="18">
        <f>GASTO_E_T3</f>
        <v>61331887.109999999</v>
      </c>
      <c r="S3" s="18">
        <f>GASTO_E_T4</f>
        <v>18498886.010000002</v>
      </c>
      <c r="T3" s="18">
        <f>GASTO_E_T5</f>
        <v>18423346.010000002</v>
      </c>
      <c r="U3" s="18">
        <f>GASTO_E_T6</f>
        <v>42833001.099999994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94839000</v>
      </c>
      <c r="Q4" s="18">
        <f>TOTAL_E_T2</f>
        <v>38599726</v>
      </c>
      <c r="R4" s="18">
        <f>TOTAL_E_T3</f>
        <v>133438726</v>
      </c>
      <c r="S4" s="18">
        <f>TOTAL_E_T4</f>
        <v>60582670.609999999</v>
      </c>
      <c r="T4" s="18">
        <f>TOTAL_E_T5</f>
        <v>60507130.609999999</v>
      </c>
      <c r="U4" s="18">
        <f>TOTAL_E_T6</f>
        <v>72856055.389999986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topLeftCell="A64" zoomScale="90" zoomScaleNormal="90" workbookViewId="0">
      <selection activeCell="C75" sqref="C75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214" t="s">
        <v>3289</v>
      </c>
      <c r="B1" s="215"/>
      <c r="C1" s="215"/>
      <c r="D1" s="215"/>
      <c r="E1" s="215"/>
      <c r="F1" s="215"/>
      <c r="G1" s="215"/>
    </row>
    <row r="2" spans="1:7" x14ac:dyDescent="0.25">
      <c r="A2" s="189" t="str">
        <f>ENTE_PUBLICO_A</f>
        <v>Municipio de Tierra Blanca Guanajuato, Gobierno del Estado de Guanajuato (a)</v>
      </c>
      <c r="B2" s="190"/>
      <c r="C2" s="190"/>
      <c r="D2" s="190"/>
      <c r="E2" s="190"/>
      <c r="F2" s="190"/>
      <c r="G2" s="191"/>
    </row>
    <row r="3" spans="1:7" x14ac:dyDescent="0.25">
      <c r="A3" s="192" t="s">
        <v>396</v>
      </c>
      <c r="B3" s="193"/>
      <c r="C3" s="193"/>
      <c r="D3" s="193"/>
      <c r="E3" s="193"/>
      <c r="F3" s="193"/>
      <c r="G3" s="194"/>
    </row>
    <row r="4" spans="1:7" x14ac:dyDescent="0.25">
      <c r="A4" s="192" t="s">
        <v>397</v>
      </c>
      <c r="B4" s="193"/>
      <c r="C4" s="193"/>
      <c r="D4" s="193"/>
      <c r="E4" s="193"/>
      <c r="F4" s="193"/>
      <c r="G4" s="194"/>
    </row>
    <row r="5" spans="1:7" x14ac:dyDescent="0.25">
      <c r="A5" s="195" t="str">
        <f>TRIMESTRE</f>
        <v>Del 1 de enero al 30 de septiembre de 2022 (b)</v>
      </c>
      <c r="B5" s="196"/>
      <c r="C5" s="196"/>
      <c r="D5" s="196"/>
      <c r="E5" s="196"/>
      <c r="F5" s="196"/>
      <c r="G5" s="197"/>
    </row>
    <row r="6" spans="1:7" x14ac:dyDescent="0.25">
      <c r="A6" s="198" t="s">
        <v>118</v>
      </c>
      <c r="B6" s="199"/>
      <c r="C6" s="199"/>
      <c r="D6" s="199"/>
      <c r="E6" s="199"/>
      <c r="F6" s="199"/>
      <c r="G6" s="200"/>
    </row>
    <row r="7" spans="1:7" x14ac:dyDescent="0.25">
      <c r="A7" s="193" t="s">
        <v>0</v>
      </c>
      <c r="B7" s="198" t="s">
        <v>279</v>
      </c>
      <c r="C7" s="199"/>
      <c r="D7" s="199"/>
      <c r="E7" s="199"/>
      <c r="F7" s="200"/>
      <c r="G7" s="210" t="s">
        <v>3286</v>
      </c>
    </row>
    <row r="8" spans="1:7" ht="30.75" customHeight="1" x14ac:dyDescent="0.25">
      <c r="A8" s="193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209"/>
    </row>
    <row r="9" spans="1:7" x14ac:dyDescent="0.25">
      <c r="A9" s="52" t="s">
        <v>363</v>
      </c>
      <c r="B9" s="69">
        <f>SUM(B10,B19,B27,B37)</f>
        <v>55939000</v>
      </c>
      <c r="C9" s="69">
        <f t="shared" ref="C9:G9" si="0">SUM(C10,C19,C27,C37)</f>
        <v>16167838.890000001</v>
      </c>
      <c r="D9" s="69">
        <f t="shared" si="0"/>
        <v>72106838.890000001</v>
      </c>
      <c r="E9" s="69">
        <f t="shared" si="0"/>
        <v>42083784.600000009</v>
      </c>
      <c r="F9" s="69">
        <f t="shared" si="0"/>
        <v>42083784.600000009</v>
      </c>
      <c r="G9" s="69">
        <f t="shared" si="0"/>
        <v>30023054.289999999</v>
      </c>
    </row>
    <row r="10" spans="1:7" x14ac:dyDescent="0.25">
      <c r="A10" s="53" t="s">
        <v>364</v>
      </c>
      <c r="B10" s="70">
        <f>SUM(B11:B18)</f>
        <v>34427653.68</v>
      </c>
      <c r="C10" s="151">
        <f>SUM(C11:C18)</f>
        <v>9232845.9900000002</v>
      </c>
      <c r="D10" s="70">
        <f t="shared" ref="C10:F10" si="1">SUM(D11:D18)</f>
        <v>43660499.670000009</v>
      </c>
      <c r="E10" s="70">
        <f t="shared" si="1"/>
        <v>24067062.270000003</v>
      </c>
      <c r="F10" s="70">
        <f t="shared" si="1"/>
        <v>24067062.270000003</v>
      </c>
      <c r="G10" s="70">
        <f>SUM(G11:G18)</f>
        <v>19593437.400000002</v>
      </c>
    </row>
    <row r="11" spans="1:7" x14ac:dyDescent="0.25">
      <c r="A11" s="63" t="s">
        <v>365</v>
      </c>
      <c r="B11" s="229">
        <v>6411063</v>
      </c>
      <c r="C11" s="229">
        <v>428950.59</v>
      </c>
      <c r="D11" s="169">
        <f>B11+C11</f>
        <v>6840013.5899999999</v>
      </c>
      <c r="E11" s="229">
        <v>4197635.5</v>
      </c>
      <c r="F11" s="229">
        <v>4197635.5</v>
      </c>
      <c r="G11" s="169">
        <f>D11-E11</f>
        <v>2642378.09</v>
      </c>
    </row>
    <row r="12" spans="1:7" ht="14.25" customHeight="1" x14ac:dyDescent="0.25">
      <c r="A12" s="63" t="s">
        <v>366</v>
      </c>
      <c r="B12" s="229">
        <v>456941.55</v>
      </c>
      <c r="C12" s="229">
        <v>20000</v>
      </c>
      <c r="D12" s="169">
        <f t="shared" ref="D12:D18" si="2">B12+C12</f>
        <v>476941.55</v>
      </c>
      <c r="E12" s="229">
        <v>272668.67</v>
      </c>
      <c r="F12" s="229">
        <v>272668.67</v>
      </c>
      <c r="G12" s="169">
        <f t="shared" ref="G12:G18" si="3">D12-E12</f>
        <v>204272.88</v>
      </c>
    </row>
    <row r="13" spans="1:7" x14ac:dyDescent="0.25">
      <c r="A13" s="63" t="s">
        <v>367</v>
      </c>
      <c r="B13" s="229">
        <v>14894408.91</v>
      </c>
      <c r="C13" s="229">
        <v>3815013.35</v>
      </c>
      <c r="D13" s="169">
        <f t="shared" si="2"/>
        <v>18709422.260000002</v>
      </c>
      <c r="E13" s="229">
        <v>8817222.7100000009</v>
      </c>
      <c r="F13" s="229">
        <v>8817222.7100000009</v>
      </c>
      <c r="G13" s="169">
        <f t="shared" si="3"/>
        <v>9892199.5500000007</v>
      </c>
    </row>
    <row r="14" spans="1:7" ht="14.25" customHeight="1" x14ac:dyDescent="0.25">
      <c r="A14" s="63" t="s">
        <v>368</v>
      </c>
      <c r="B14" s="230">
        <v>0</v>
      </c>
      <c r="C14" s="230">
        <v>0</v>
      </c>
      <c r="D14" s="169">
        <f t="shared" si="2"/>
        <v>0</v>
      </c>
      <c r="E14" s="230">
        <v>0</v>
      </c>
      <c r="F14" s="230">
        <v>0</v>
      </c>
      <c r="G14" s="169">
        <f t="shared" si="3"/>
        <v>0</v>
      </c>
    </row>
    <row r="15" spans="1:7" ht="14.25" customHeight="1" x14ac:dyDescent="0.25">
      <c r="A15" s="63" t="s">
        <v>369</v>
      </c>
      <c r="B15" s="229">
        <v>7617345.4000000004</v>
      </c>
      <c r="C15" s="229">
        <v>1274630.99</v>
      </c>
      <c r="D15" s="169">
        <f t="shared" si="2"/>
        <v>8891976.3900000006</v>
      </c>
      <c r="E15" s="229">
        <v>5267777.2</v>
      </c>
      <c r="F15" s="229">
        <v>5267777.2</v>
      </c>
      <c r="G15" s="169">
        <f t="shared" si="3"/>
        <v>3624199.1900000004</v>
      </c>
    </row>
    <row r="16" spans="1:7" ht="14.25" customHeight="1" x14ac:dyDescent="0.25">
      <c r="A16" s="63" t="s">
        <v>370</v>
      </c>
      <c r="B16" s="230">
        <v>0</v>
      </c>
      <c r="C16" s="230">
        <v>0</v>
      </c>
      <c r="D16" s="169">
        <f t="shared" si="2"/>
        <v>0</v>
      </c>
      <c r="E16" s="230">
        <v>0</v>
      </c>
      <c r="F16" s="230">
        <v>0</v>
      </c>
      <c r="G16" s="169">
        <f t="shared" si="3"/>
        <v>0</v>
      </c>
    </row>
    <row r="17" spans="1:7" x14ac:dyDescent="0.25">
      <c r="A17" s="63" t="s">
        <v>371</v>
      </c>
      <c r="B17" s="229">
        <v>285995.88</v>
      </c>
      <c r="C17" s="229">
        <v>76929.89</v>
      </c>
      <c r="D17" s="169">
        <f t="shared" si="2"/>
        <v>362925.77</v>
      </c>
      <c r="E17" s="229">
        <v>155563.89000000001</v>
      </c>
      <c r="F17" s="229">
        <v>155563.89000000001</v>
      </c>
      <c r="G17" s="169">
        <f t="shared" si="3"/>
        <v>207361.88</v>
      </c>
    </row>
    <row r="18" spans="1:7" ht="14.25" customHeight="1" x14ac:dyDescent="0.25">
      <c r="A18" s="63" t="s">
        <v>372</v>
      </c>
      <c r="B18" s="229">
        <v>4761898.9400000004</v>
      </c>
      <c r="C18" s="229">
        <v>3617321.17</v>
      </c>
      <c r="D18" s="169">
        <f t="shared" si="2"/>
        <v>8379220.1100000003</v>
      </c>
      <c r="E18" s="229">
        <v>5356194.3</v>
      </c>
      <c r="F18" s="229">
        <v>5356194.3</v>
      </c>
      <c r="G18" s="169">
        <f t="shared" si="3"/>
        <v>3023025.8100000005</v>
      </c>
    </row>
    <row r="19" spans="1:7" x14ac:dyDescent="0.25">
      <c r="A19" s="53" t="s">
        <v>373</v>
      </c>
      <c r="B19" s="151">
        <f>B20+B21+B22+B23+B24+B25+B26</f>
        <v>20210317.760000002</v>
      </c>
      <c r="C19" s="151">
        <f>SUM(C20:C26)</f>
        <v>5153510.97</v>
      </c>
      <c r="D19" s="70">
        <f t="shared" ref="C19:F19" si="4">SUM(D20:D26)</f>
        <v>25363828.73</v>
      </c>
      <c r="E19" s="70">
        <f t="shared" si="4"/>
        <v>17126989.239999998</v>
      </c>
      <c r="F19" s="70">
        <f t="shared" si="4"/>
        <v>17126989.239999998</v>
      </c>
      <c r="G19" s="70">
        <f>SUM(G20:G26)</f>
        <v>8236839.4900000002</v>
      </c>
    </row>
    <row r="20" spans="1:7" x14ac:dyDescent="0.25">
      <c r="A20" s="63" t="s">
        <v>374</v>
      </c>
      <c r="B20" s="229">
        <v>674240.2</v>
      </c>
      <c r="C20" s="229">
        <v>-35000</v>
      </c>
      <c r="D20" s="154">
        <f t="shared" ref="D20:D26" si="5">B20+C20</f>
        <v>639240.19999999995</v>
      </c>
      <c r="E20" s="229">
        <v>355684.94</v>
      </c>
      <c r="F20" s="229">
        <v>355684.94</v>
      </c>
      <c r="G20" s="154">
        <f t="shared" ref="G20:G26" si="6">D20-E20</f>
        <v>283555.25999999995</v>
      </c>
    </row>
    <row r="21" spans="1:7" x14ac:dyDescent="0.25">
      <c r="A21" s="63" t="s">
        <v>375</v>
      </c>
      <c r="B21" s="229">
        <v>11141985.810000001</v>
      </c>
      <c r="C21" s="229">
        <v>2716549.44</v>
      </c>
      <c r="D21" s="154">
        <f t="shared" si="5"/>
        <v>13858535.25</v>
      </c>
      <c r="E21" s="229">
        <v>8340464.8499999996</v>
      </c>
      <c r="F21" s="229">
        <v>8340464.8499999996</v>
      </c>
      <c r="G21" s="154">
        <f t="shared" si="6"/>
        <v>5518070.4000000004</v>
      </c>
    </row>
    <row r="22" spans="1:7" ht="14.25" customHeight="1" x14ac:dyDescent="0.25">
      <c r="A22" s="63" t="s">
        <v>376</v>
      </c>
      <c r="B22" s="230">
        <v>0</v>
      </c>
      <c r="C22" s="230">
        <v>0</v>
      </c>
      <c r="D22" s="154">
        <f t="shared" si="5"/>
        <v>0</v>
      </c>
      <c r="E22" s="230">
        <v>0</v>
      </c>
      <c r="F22" s="230">
        <v>0</v>
      </c>
      <c r="G22" s="154">
        <f t="shared" si="6"/>
        <v>0</v>
      </c>
    </row>
    <row r="23" spans="1:7" x14ac:dyDescent="0.25">
      <c r="A23" s="63" t="s">
        <v>377</v>
      </c>
      <c r="B23" s="229">
        <v>4530499.04</v>
      </c>
      <c r="C23" s="229">
        <v>1048890</v>
      </c>
      <c r="D23" s="154">
        <f t="shared" si="5"/>
        <v>5579389.04</v>
      </c>
      <c r="E23" s="229">
        <v>4166272.67</v>
      </c>
      <c r="F23" s="229">
        <v>4166272.67</v>
      </c>
      <c r="G23" s="154">
        <f t="shared" si="6"/>
        <v>1413116.37</v>
      </c>
    </row>
    <row r="24" spans="1:7" x14ac:dyDescent="0.25">
      <c r="A24" s="63" t="s">
        <v>378</v>
      </c>
      <c r="B24" s="229">
        <v>1636739.21</v>
      </c>
      <c r="C24" s="229">
        <v>-21000</v>
      </c>
      <c r="D24" s="154">
        <f t="shared" si="5"/>
        <v>1615739.21</v>
      </c>
      <c r="E24" s="229">
        <v>899974.1</v>
      </c>
      <c r="F24" s="229">
        <v>899974.1</v>
      </c>
      <c r="G24" s="154">
        <f t="shared" si="6"/>
        <v>715765.11</v>
      </c>
    </row>
    <row r="25" spans="1:7" x14ac:dyDescent="0.25">
      <c r="A25" s="63" t="s">
        <v>379</v>
      </c>
      <c r="B25" s="229">
        <v>2226853.5</v>
      </c>
      <c r="C25" s="229">
        <v>1444071.53</v>
      </c>
      <c r="D25" s="154">
        <f t="shared" si="5"/>
        <v>3670925.0300000003</v>
      </c>
      <c r="E25" s="229">
        <v>3364592.68</v>
      </c>
      <c r="F25" s="229">
        <v>3364592.68</v>
      </c>
      <c r="G25" s="154">
        <f t="shared" si="6"/>
        <v>306332.35000000009</v>
      </c>
    </row>
    <row r="26" spans="1:7" ht="14.25" customHeight="1" x14ac:dyDescent="0.25">
      <c r="A26" s="63" t="s">
        <v>380</v>
      </c>
      <c r="B26" s="230">
        <v>0</v>
      </c>
      <c r="C26" s="230">
        <v>0</v>
      </c>
      <c r="D26" s="154">
        <f t="shared" si="5"/>
        <v>0</v>
      </c>
      <c r="E26" s="230">
        <v>0</v>
      </c>
      <c r="F26" s="230">
        <v>0</v>
      </c>
      <c r="G26" s="154">
        <f t="shared" si="6"/>
        <v>0</v>
      </c>
    </row>
    <row r="27" spans="1:7" x14ac:dyDescent="0.25">
      <c r="A27" s="53" t="s">
        <v>381</v>
      </c>
      <c r="B27" s="70">
        <f>SUM(B28:B36)</f>
        <v>1301028.56</v>
      </c>
      <c r="C27" s="151">
        <f>SUM(C28:C36)</f>
        <v>1781481.93</v>
      </c>
      <c r="D27" s="70">
        <f t="shared" ref="C27:F27" si="7">SUM(D28:D36)</f>
        <v>3082510.49</v>
      </c>
      <c r="E27" s="70">
        <f t="shared" si="7"/>
        <v>889733.09</v>
      </c>
      <c r="F27" s="70">
        <f t="shared" si="7"/>
        <v>889733.09</v>
      </c>
      <c r="G27" s="70">
        <f>SUM(G28:G36)</f>
        <v>2192777.4000000004</v>
      </c>
    </row>
    <row r="28" spans="1:7" x14ac:dyDescent="0.25">
      <c r="A28" s="68" t="s">
        <v>382</v>
      </c>
      <c r="B28" s="229">
        <v>322102.73</v>
      </c>
      <c r="C28" s="229">
        <v>-48500</v>
      </c>
      <c r="D28" s="154">
        <f t="shared" ref="D28:D36" si="8">B28+C28</f>
        <v>273602.73</v>
      </c>
      <c r="E28" s="229">
        <v>149956.59</v>
      </c>
      <c r="F28" s="229">
        <v>149956.59</v>
      </c>
      <c r="G28" s="154">
        <f t="shared" ref="G28:G36" si="9">D28-E28</f>
        <v>123646.13999999998</v>
      </c>
    </row>
    <row r="29" spans="1:7" ht="14.25" customHeight="1" x14ac:dyDescent="0.25">
      <c r="A29" s="63" t="s">
        <v>383</v>
      </c>
      <c r="B29" s="229">
        <v>447623.05</v>
      </c>
      <c r="C29" s="229">
        <v>1804656.55</v>
      </c>
      <c r="D29" s="154">
        <f t="shared" si="8"/>
        <v>2252279.6</v>
      </c>
      <c r="E29" s="229">
        <v>427710.88</v>
      </c>
      <c r="F29" s="229">
        <v>427710.88</v>
      </c>
      <c r="G29" s="154">
        <f t="shared" si="9"/>
        <v>1824568.7200000002</v>
      </c>
    </row>
    <row r="30" spans="1:7" x14ac:dyDescent="0.25">
      <c r="A30" s="63" t="s">
        <v>384</v>
      </c>
      <c r="B30" s="230">
        <v>0</v>
      </c>
      <c r="C30" s="230">
        <v>0</v>
      </c>
      <c r="D30" s="152">
        <f t="shared" si="8"/>
        <v>0</v>
      </c>
      <c r="E30" s="230">
        <v>0</v>
      </c>
      <c r="F30" s="230">
        <v>0</v>
      </c>
      <c r="G30" s="152">
        <f t="shared" si="9"/>
        <v>0</v>
      </c>
    </row>
    <row r="31" spans="1:7" x14ac:dyDescent="0.25">
      <c r="A31" s="63" t="s">
        <v>385</v>
      </c>
      <c r="B31" s="230">
        <v>0</v>
      </c>
      <c r="C31" s="230">
        <v>0</v>
      </c>
      <c r="D31" s="152">
        <f t="shared" si="8"/>
        <v>0</v>
      </c>
      <c r="E31" s="230">
        <v>0</v>
      </c>
      <c r="F31" s="230">
        <v>0</v>
      </c>
      <c r="G31" s="152">
        <f t="shared" si="9"/>
        <v>0</v>
      </c>
    </row>
    <row r="32" spans="1:7" x14ac:dyDescent="0.25">
      <c r="A32" s="63" t="s">
        <v>386</v>
      </c>
      <c r="B32" s="230">
        <v>0</v>
      </c>
      <c r="C32" s="230">
        <v>0</v>
      </c>
      <c r="D32" s="152">
        <f t="shared" si="8"/>
        <v>0</v>
      </c>
      <c r="E32" s="230">
        <v>0</v>
      </c>
      <c r="F32" s="230">
        <v>0</v>
      </c>
      <c r="G32" s="152">
        <f t="shared" si="9"/>
        <v>0</v>
      </c>
    </row>
    <row r="33" spans="1:7" x14ac:dyDescent="0.25">
      <c r="A33" s="63" t="s">
        <v>387</v>
      </c>
      <c r="B33" s="230">
        <v>0</v>
      </c>
      <c r="C33" s="230">
        <v>0</v>
      </c>
      <c r="D33" s="152">
        <f t="shared" si="8"/>
        <v>0</v>
      </c>
      <c r="E33" s="230"/>
      <c r="F33" s="230">
        <v>0</v>
      </c>
      <c r="G33" s="152">
        <f t="shared" si="9"/>
        <v>0</v>
      </c>
    </row>
    <row r="34" spans="1:7" x14ac:dyDescent="0.25">
      <c r="A34" s="63" t="s">
        <v>388</v>
      </c>
      <c r="B34" s="229">
        <v>531302.78</v>
      </c>
      <c r="C34" s="229">
        <v>25325.38</v>
      </c>
      <c r="D34" s="154">
        <f t="shared" si="8"/>
        <v>556628.16</v>
      </c>
      <c r="E34" s="229">
        <v>312065.62</v>
      </c>
      <c r="F34" s="229">
        <v>312065.62</v>
      </c>
      <c r="G34" s="154">
        <f t="shared" si="9"/>
        <v>244562.54000000004</v>
      </c>
    </row>
    <row r="35" spans="1:7" x14ac:dyDescent="0.25">
      <c r="A35" s="63" t="s">
        <v>389</v>
      </c>
      <c r="B35" s="230">
        <v>0</v>
      </c>
      <c r="C35" s="230">
        <v>0</v>
      </c>
      <c r="D35" s="152">
        <f t="shared" si="8"/>
        <v>0</v>
      </c>
      <c r="E35" s="230">
        <v>0</v>
      </c>
      <c r="F35" s="230">
        <v>0</v>
      </c>
      <c r="G35" s="152">
        <f t="shared" si="9"/>
        <v>0</v>
      </c>
    </row>
    <row r="36" spans="1:7" x14ac:dyDescent="0.25">
      <c r="A36" s="63" t="s">
        <v>390</v>
      </c>
      <c r="B36" s="230">
        <v>0</v>
      </c>
      <c r="C36" s="230">
        <v>0</v>
      </c>
      <c r="D36" s="152">
        <f t="shared" si="8"/>
        <v>0</v>
      </c>
      <c r="E36" s="230">
        <v>0</v>
      </c>
      <c r="F36" s="230">
        <v>0</v>
      </c>
      <c r="G36" s="152">
        <f t="shared" si="9"/>
        <v>0</v>
      </c>
    </row>
    <row r="37" spans="1:7" ht="30" x14ac:dyDescent="0.25">
      <c r="A37" s="64" t="s">
        <v>398</v>
      </c>
      <c r="B37" s="70">
        <f>SUM(B38:B41)</f>
        <v>0</v>
      </c>
      <c r="C37" s="70">
        <f t="shared" ref="C37:F37" si="10">SUM(C38:C41)</f>
        <v>0</v>
      </c>
      <c r="D37" s="70">
        <f t="shared" si="10"/>
        <v>0</v>
      </c>
      <c r="E37" s="70">
        <f t="shared" si="10"/>
        <v>0</v>
      </c>
      <c r="F37" s="70">
        <f t="shared" si="10"/>
        <v>0</v>
      </c>
      <c r="G37" s="70">
        <f>SUM(G38:G41)</f>
        <v>0</v>
      </c>
    </row>
    <row r="38" spans="1:7" x14ac:dyDescent="0.25">
      <c r="A38" s="68" t="s">
        <v>391</v>
      </c>
      <c r="B38" s="70">
        <v>0</v>
      </c>
      <c r="C38" s="70">
        <v>0</v>
      </c>
      <c r="D38" s="70">
        <v>0</v>
      </c>
      <c r="E38" s="70">
        <v>0</v>
      </c>
      <c r="F38" s="70">
        <v>0</v>
      </c>
      <c r="G38" s="71">
        <f>D38-E38</f>
        <v>0</v>
      </c>
    </row>
    <row r="39" spans="1:7" ht="30" x14ac:dyDescent="0.25">
      <c r="A39" s="68" t="s">
        <v>392</v>
      </c>
      <c r="B39" s="70">
        <v>0</v>
      </c>
      <c r="C39" s="70">
        <v>0</v>
      </c>
      <c r="D39" s="70">
        <v>0</v>
      </c>
      <c r="E39" s="70">
        <v>0</v>
      </c>
      <c r="F39" s="70">
        <v>0</v>
      </c>
      <c r="G39" s="71">
        <f t="shared" ref="G39:G41" si="11">D39-E39</f>
        <v>0</v>
      </c>
    </row>
    <row r="40" spans="1:7" x14ac:dyDescent="0.25">
      <c r="A40" s="68" t="s">
        <v>393</v>
      </c>
      <c r="B40" s="70">
        <v>0</v>
      </c>
      <c r="C40" s="70">
        <v>0</v>
      </c>
      <c r="D40" s="70">
        <v>0</v>
      </c>
      <c r="E40" s="70">
        <v>0</v>
      </c>
      <c r="F40" s="70">
        <v>0</v>
      </c>
      <c r="G40" s="71">
        <f t="shared" si="11"/>
        <v>0</v>
      </c>
    </row>
    <row r="41" spans="1:7" x14ac:dyDescent="0.25">
      <c r="A41" s="68" t="s">
        <v>394</v>
      </c>
      <c r="B41" s="70">
        <v>0</v>
      </c>
      <c r="C41" s="70">
        <v>0</v>
      </c>
      <c r="D41" s="70">
        <v>0</v>
      </c>
      <c r="E41" s="70">
        <v>0</v>
      </c>
      <c r="F41" s="70">
        <v>0</v>
      </c>
      <c r="G41" s="71">
        <f t="shared" si="11"/>
        <v>0</v>
      </c>
    </row>
    <row r="42" spans="1:7" x14ac:dyDescent="0.25">
      <c r="A42" s="68"/>
      <c r="B42" s="71"/>
      <c r="C42" s="71"/>
      <c r="D42" s="71"/>
      <c r="E42" s="71"/>
      <c r="F42" s="71"/>
      <c r="G42" s="71"/>
    </row>
    <row r="43" spans="1:7" x14ac:dyDescent="0.25">
      <c r="A43" s="55" t="s">
        <v>395</v>
      </c>
      <c r="B43" s="72">
        <f>SUM(B44,B53,B61,B71)</f>
        <v>38900000</v>
      </c>
      <c r="C43" s="72">
        <f t="shared" ref="C43:G43" si="12">SUM(C44,C53,C61,C71)</f>
        <v>22431887.109999999</v>
      </c>
      <c r="D43" s="72">
        <f t="shared" si="12"/>
        <v>61331887.110000007</v>
      </c>
      <c r="E43" s="72">
        <f t="shared" si="12"/>
        <v>18498886.009999998</v>
      </c>
      <c r="F43" s="72">
        <f t="shared" si="12"/>
        <v>18423346.009999998</v>
      </c>
      <c r="G43" s="72">
        <f t="shared" si="12"/>
        <v>42833001.100000009</v>
      </c>
    </row>
    <row r="44" spans="1:7" x14ac:dyDescent="0.25">
      <c r="A44" s="53" t="s">
        <v>430</v>
      </c>
      <c r="B44" s="71">
        <f>SUM(B45:B52)</f>
        <v>10705723.74</v>
      </c>
      <c r="C44" s="231">
        <f>SUM(C45:C52)</f>
        <v>3306827.43</v>
      </c>
      <c r="D44" s="71">
        <f t="shared" ref="C44:G44" si="13">SUM(D45:D52)</f>
        <v>14012551.17</v>
      </c>
      <c r="E44" s="71">
        <f t="shared" si="13"/>
        <v>7795879</v>
      </c>
      <c r="F44" s="71">
        <f t="shared" si="13"/>
        <v>7720339</v>
      </c>
      <c r="G44" s="71">
        <f t="shared" si="13"/>
        <v>6216672.1699999999</v>
      </c>
    </row>
    <row r="45" spans="1:7" x14ac:dyDescent="0.25">
      <c r="A45" s="68" t="s">
        <v>365</v>
      </c>
      <c r="B45" s="230">
        <v>0</v>
      </c>
      <c r="C45" s="230">
        <v>0</v>
      </c>
      <c r="D45" s="168">
        <f t="shared" ref="D45:D52" si="14">B45+C45</f>
        <v>0</v>
      </c>
      <c r="E45" s="230">
        <v>0</v>
      </c>
      <c r="F45" s="230">
        <v>0</v>
      </c>
      <c r="G45" s="168">
        <f t="shared" ref="G45:G52" si="15">D45-E45</f>
        <v>0</v>
      </c>
    </row>
    <row r="46" spans="1:7" x14ac:dyDescent="0.25">
      <c r="A46" s="68" t="s">
        <v>366</v>
      </c>
      <c r="B46" s="230">
        <v>0</v>
      </c>
      <c r="C46" s="230">
        <v>0</v>
      </c>
      <c r="D46" s="168">
        <f t="shared" si="14"/>
        <v>0</v>
      </c>
      <c r="E46" s="230">
        <v>0</v>
      </c>
      <c r="F46" s="230">
        <v>0</v>
      </c>
      <c r="G46" s="168">
        <f t="shared" si="15"/>
        <v>0</v>
      </c>
    </row>
    <row r="47" spans="1:7" x14ac:dyDescent="0.25">
      <c r="A47" s="68" t="s">
        <v>367</v>
      </c>
      <c r="B47" s="230">
        <v>0</v>
      </c>
      <c r="C47" s="230">
        <v>0</v>
      </c>
      <c r="D47" s="168">
        <f t="shared" si="14"/>
        <v>0</v>
      </c>
      <c r="E47" s="230">
        <v>0</v>
      </c>
      <c r="F47" s="230">
        <v>0</v>
      </c>
      <c r="G47" s="168">
        <f t="shared" si="15"/>
        <v>0</v>
      </c>
    </row>
    <row r="48" spans="1:7" x14ac:dyDescent="0.25">
      <c r="A48" s="68" t="s">
        <v>368</v>
      </c>
      <c r="B48" s="230">
        <v>0</v>
      </c>
      <c r="C48" s="230">
        <v>0</v>
      </c>
      <c r="D48" s="168">
        <f t="shared" si="14"/>
        <v>0</v>
      </c>
      <c r="E48" s="230">
        <v>0</v>
      </c>
      <c r="F48" s="230">
        <v>0</v>
      </c>
      <c r="G48" s="168">
        <f t="shared" si="15"/>
        <v>0</v>
      </c>
    </row>
    <row r="49" spans="1:7" x14ac:dyDescent="0.25">
      <c r="A49" s="68" t="s">
        <v>369</v>
      </c>
      <c r="B49" s="230">
        <v>0</v>
      </c>
      <c r="C49" s="230">
        <v>0</v>
      </c>
      <c r="D49" s="168">
        <f t="shared" si="14"/>
        <v>0</v>
      </c>
      <c r="E49" s="230">
        <v>0</v>
      </c>
      <c r="F49" s="230">
        <v>0</v>
      </c>
      <c r="G49" s="168">
        <f t="shared" si="15"/>
        <v>0</v>
      </c>
    </row>
    <row r="50" spans="1:7" x14ac:dyDescent="0.25">
      <c r="A50" s="68" t="s">
        <v>370</v>
      </c>
      <c r="B50" s="230">
        <v>0</v>
      </c>
      <c r="C50" s="230">
        <v>0</v>
      </c>
      <c r="D50" s="168">
        <f t="shared" si="14"/>
        <v>0</v>
      </c>
      <c r="E50" s="230">
        <v>0</v>
      </c>
      <c r="F50" s="230">
        <v>0</v>
      </c>
      <c r="G50" s="168">
        <f t="shared" si="15"/>
        <v>0</v>
      </c>
    </row>
    <row r="51" spans="1:7" x14ac:dyDescent="0.25">
      <c r="A51" s="68" t="s">
        <v>371</v>
      </c>
      <c r="B51" s="229">
        <v>10705723.74</v>
      </c>
      <c r="C51" s="229">
        <v>3306827.43</v>
      </c>
      <c r="D51" s="168">
        <f t="shared" si="14"/>
        <v>14012551.17</v>
      </c>
      <c r="E51" s="229">
        <v>7795879</v>
      </c>
      <c r="F51" s="229">
        <v>7720339</v>
      </c>
      <c r="G51" s="168">
        <f t="shared" si="15"/>
        <v>6216672.1699999999</v>
      </c>
    </row>
    <row r="52" spans="1:7" x14ac:dyDescent="0.25">
      <c r="A52" s="68" t="s">
        <v>372</v>
      </c>
      <c r="B52" s="230">
        <v>0</v>
      </c>
      <c r="C52" s="230">
        <v>0</v>
      </c>
      <c r="D52" s="168">
        <f t="shared" si="14"/>
        <v>0</v>
      </c>
      <c r="E52" s="230">
        <v>0</v>
      </c>
      <c r="F52" s="230">
        <v>0</v>
      </c>
      <c r="G52" s="168">
        <f t="shared" si="15"/>
        <v>0</v>
      </c>
    </row>
    <row r="53" spans="1:7" x14ac:dyDescent="0.25">
      <c r="A53" s="53" t="s">
        <v>373</v>
      </c>
      <c r="B53" s="167">
        <f>SUM(B54:B60)</f>
        <v>27394276.260000002</v>
      </c>
      <c r="C53" s="167">
        <f t="shared" ref="C53:G53" si="16">SUM(C54:C60)</f>
        <v>17563992.079999998</v>
      </c>
      <c r="D53" s="167">
        <f t="shared" si="16"/>
        <v>44958268.340000004</v>
      </c>
      <c r="E53" s="167">
        <f t="shared" si="16"/>
        <v>10703007.01</v>
      </c>
      <c r="F53" s="167">
        <f t="shared" si="16"/>
        <v>10703007.01</v>
      </c>
      <c r="G53" s="167">
        <f t="shared" si="16"/>
        <v>34255261.330000006</v>
      </c>
    </row>
    <row r="54" spans="1:7" x14ac:dyDescent="0.25">
      <c r="A54" s="68" t="s">
        <v>374</v>
      </c>
      <c r="B54" s="230">
        <v>0</v>
      </c>
      <c r="C54" s="230">
        <v>0</v>
      </c>
      <c r="D54" s="168">
        <f t="shared" ref="D54:D60" si="17">B54+C54</f>
        <v>0</v>
      </c>
      <c r="E54" s="230">
        <v>0</v>
      </c>
      <c r="F54" s="230">
        <v>0</v>
      </c>
      <c r="G54" s="168">
        <f t="shared" ref="G54:G60" si="18">D54-E54</f>
        <v>0</v>
      </c>
    </row>
    <row r="55" spans="1:7" x14ac:dyDescent="0.25">
      <c r="A55" s="68" t="s">
        <v>375</v>
      </c>
      <c r="B55" s="229">
        <v>27394276.260000002</v>
      </c>
      <c r="C55" s="229">
        <v>17363992.079999998</v>
      </c>
      <c r="D55" s="168">
        <f t="shared" si="17"/>
        <v>44758268.340000004</v>
      </c>
      <c r="E55" s="229">
        <v>10650133.689999999</v>
      </c>
      <c r="F55" s="229">
        <v>10650133.689999999</v>
      </c>
      <c r="G55" s="168">
        <f t="shared" si="18"/>
        <v>34108134.650000006</v>
      </c>
    </row>
    <row r="56" spans="1:7" x14ac:dyDescent="0.25">
      <c r="A56" s="68" t="s">
        <v>376</v>
      </c>
      <c r="B56" s="230">
        <v>0</v>
      </c>
      <c r="C56" s="230">
        <v>0</v>
      </c>
      <c r="D56" s="168">
        <f t="shared" si="17"/>
        <v>0</v>
      </c>
      <c r="E56" s="230">
        <v>0</v>
      </c>
      <c r="F56" s="230">
        <v>0</v>
      </c>
      <c r="G56" s="168">
        <f t="shared" si="18"/>
        <v>0</v>
      </c>
    </row>
    <row r="57" spans="1:7" x14ac:dyDescent="0.25">
      <c r="A57" s="48" t="s">
        <v>377</v>
      </c>
      <c r="B57" s="230">
        <v>0</v>
      </c>
      <c r="C57" s="230">
        <v>0</v>
      </c>
      <c r="D57" s="168">
        <f t="shared" si="17"/>
        <v>0</v>
      </c>
      <c r="E57" s="230">
        <v>0</v>
      </c>
      <c r="F57" s="230">
        <v>0</v>
      </c>
      <c r="G57" s="168">
        <f t="shared" si="18"/>
        <v>0</v>
      </c>
    </row>
    <row r="58" spans="1:7" x14ac:dyDescent="0.25">
      <c r="A58" s="68" t="s">
        <v>378</v>
      </c>
      <c r="B58" s="230">
        <v>0</v>
      </c>
      <c r="C58" s="230">
        <v>0</v>
      </c>
      <c r="D58" s="168">
        <f t="shared" si="17"/>
        <v>0</v>
      </c>
      <c r="E58" s="230">
        <v>0</v>
      </c>
      <c r="F58" s="230">
        <v>0</v>
      </c>
      <c r="G58" s="168">
        <f t="shared" si="18"/>
        <v>0</v>
      </c>
    </row>
    <row r="59" spans="1:7" x14ac:dyDescent="0.25">
      <c r="A59" s="68" t="s">
        <v>379</v>
      </c>
      <c r="B59" s="229">
        <v>0</v>
      </c>
      <c r="C59" s="229">
        <v>200000</v>
      </c>
      <c r="D59" s="168">
        <f t="shared" si="17"/>
        <v>200000</v>
      </c>
      <c r="E59" s="229">
        <v>52873.32</v>
      </c>
      <c r="F59" s="229">
        <v>52873.32</v>
      </c>
      <c r="G59" s="167">
        <f t="shared" si="18"/>
        <v>147126.68</v>
      </c>
    </row>
    <row r="60" spans="1:7" x14ac:dyDescent="0.25">
      <c r="A60" s="68" t="s">
        <v>380</v>
      </c>
      <c r="B60" s="230">
        <v>0</v>
      </c>
      <c r="C60" s="230">
        <v>0</v>
      </c>
      <c r="D60" s="168">
        <f t="shared" si="17"/>
        <v>0</v>
      </c>
      <c r="E60" s="230">
        <v>0</v>
      </c>
      <c r="F60" s="230">
        <v>0</v>
      </c>
      <c r="G60" s="167">
        <f t="shared" si="18"/>
        <v>0</v>
      </c>
    </row>
    <row r="61" spans="1:7" x14ac:dyDescent="0.25">
      <c r="A61" s="53" t="s">
        <v>381</v>
      </c>
      <c r="B61" s="70">
        <f>SUM(B62:B70)</f>
        <v>800000</v>
      </c>
      <c r="C61" s="70">
        <f t="shared" ref="C61:G61" si="19">SUM(C62:C70)</f>
        <v>1561067.6</v>
      </c>
      <c r="D61" s="70">
        <f t="shared" si="19"/>
        <v>2361067.6</v>
      </c>
      <c r="E61" s="70">
        <f t="shared" si="19"/>
        <v>0</v>
      </c>
      <c r="F61" s="70">
        <f t="shared" si="19"/>
        <v>0</v>
      </c>
      <c r="G61" s="70">
        <f t="shared" si="19"/>
        <v>2361067.6</v>
      </c>
    </row>
    <row r="62" spans="1:7" x14ac:dyDescent="0.25">
      <c r="A62" s="68" t="s">
        <v>382</v>
      </c>
      <c r="B62" s="230">
        <v>0</v>
      </c>
      <c r="C62" s="230">
        <v>0</v>
      </c>
      <c r="D62" s="168">
        <f t="shared" ref="D62:D70" si="20">B62+C62</f>
        <v>0</v>
      </c>
      <c r="E62" s="230">
        <v>0</v>
      </c>
      <c r="F62" s="230">
        <v>0</v>
      </c>
      <c r="G62" s="230">
        <f t="shared" ref="G62:G70" si="21">D62-E62</f>
        <v>0</v>
      </c>
    </row>
    <row r="63" spans="1:7" x14ac:dyDescent="0.25">
      <c r="A63" s="68" t="s">
        <v>383</v>
      </c>
      <c r="B63" s="229">
        <v>800000</v>
      </c>
      <c r="C63" s="229">
        <v>1561067.6</v>
      </c>
      <c r="D63" s="169">
        <f t="shared" si="20"/>
        <v>2361067.6</v>
      </c>
      <c r="E63" s="229">
        <v>0</v>
      </c>
      <c r="F63" s="229">
        <v>0</v>
      </c>
      <c r="G63" s="230">
        <f t="shared" si="21"/>
        <v>2361067.6</v>
      </c>
    </row>
    <row r="64" spans="1:7" x14ac:dyDescent="0.25">
      <c r="A64" s="68" t="s">
        <v>384</v>
      </c>
      <c r="B64" s="230">
        <v>0</v>
      </c>
      <c r="C64" s="230">
        <v>0</v>
      </c>
      <c r="D64" s="168">
        <f t="shared" si="20"/>
        <v>0</v>
      </c>
      <c r="E64" s="230">
        <v>0</v>
      </c>
      <c r="F64" s="230">
        <v>0</v>
      </c>
      <c r="G64" s="230">
        <f t="shared" si="21"/>
        <v>0</v>
      </c>
    </row>
    <row r="65" spans="1:8" x14ac:dyDescent="0.25">
      <c r="A65" s="68" t="s">
        <v>385</v>
      </c>
      <c r="B65" s="230">
        <v>0</v>
      </c>
      <c r="C65" s="230">
        <v>0</v>
      </c>
      <c r="D65" s="168">
        <f t="shared" si="20"/>
        <v>0</v>
      </c>
      <c r="E65" s="230">
        <v>0</v>
      </c>
      <c r="F65" s="230">
        <v>0</v>
      </c>
      <c r="G65" s="230">
        <f t="shared" si="21"/>
        <v>0</v>
      </c>
    </row>
    <row r="66" spans="1:8" x14ac:dyDescent="0.25">
      <c r="A66" s="68" t="s">
        <v>386</v>
      </c>
      <c r="B66" s="230">
        <v>0</v>
      </c>
      <c r="C66" s="230">
        <v>0</v>
      </c>
      <c r="D66" s="168">
        <f t="shared" si="20"/>
        <v>0</v>
      </c>
      <c r="E66" s="230">
        <v>0</v>
      </c>
      <c r="F66" s="230">
        <v>0</v>
      </c>
      <c r="G66" s="230">
        <f t="shared" si="21"/>
        <v>0</v>
      </c>
    </row>
    <row r="67" spans="1:8" x14ac:dyDescent="0.25">
      <c r="A67" s="68" t="s">
        <v>387</v>
      </c>
      <c r="B67" s="230">
        <v>0</v>
      </c>
      <c r="C67" s="230">
        <v>0</v>
      </c>
      <c r="D67" s="168">
        <f t="shared" si="20"/>
        <v>0</v>
      </c>
      <c r="E67" s="230">
        <v>0</v>
      </c>
      <c r="F67" s="230">
        <v>0</v>
      </c>
      <c r="G67" s="230">
        <f t="shared" si="21"/>
        <v>0</v>
      </c>
    </row>
    <row r="68" spans="1:8" x14ac:dyDescent="0.25">
      <c r="A68" s="68" t="s">
        <v>388</v>
      </c>
      <c r="B68" s="230">
        <v>0</v>
      </c>
      <c r="C68" s="230">
        <v>0</v>
      </c>
      <c r="D68" s="168">
        <f t="shared" si="20"/>
        <v>0</v>
      </c>
      <c r="E68" s="230">
        <v>0</v>
      </c>
      <c r="F68" s="230">
        <v>0</v>
      </c>
      <c r="G68" s="230">
        <f t="shared" si="21"/>
        <v>0</v>
      </c>
    </row>
    <row r="69" spans="1:8" x14ac:dyDescent="0.25">
      <c r="A69" s="68" t="s">
        <v>389</v>
      </c>
      <c r="B69" s="230">
        <v>0</v>
      </c>
      <c r="C69" s="230">
        <v>0</v>
      </c>
      <c r="D69" s="168">
        <f t="shared" si="20"/>
        <v>0</v>
      </c>
      <c r="E69" s="230">
        <v>0</v>
      </c>
      <c r="F69" s="230">
        <v>0</v>
      </c>
      <c r="G69" s="230">
        <f t="shared" si="21"/>
        <v>0</v>
      </c>
    </row>
    <row r="70" spans="1:8" x14ac:dyDescent="0.25">
      <c r="A70" s="68" t="s">
        <v>390</v>
      </c>
      <c r="B70" s="230">
        <v>0</v>
      </c>
      <c r="C70" s="230">
        <v>0</v>
      </c>
      <c r="D70" s="168">
        <f t="shared" si="20"/>
        <v>0</v>
      </c>
      <c r="E70" s="230">
        <v>0</v>
      </c>
      <c r="F70" s="230">
        <v>0</v>
      </c>
      <c r="G70" s="230">
        <f t="shared" si="21"/>
        <v>0</v>
      </c>
    </row>
    <row r="71" spans="1:8" x14ac:dyDescent="0.25">
      <c r="A71" s="64" t="s">
        <v>3299</v>
      </c>
      <c r="B71" s="153">
        <v>0</v>
      </c>
      <c r="C71" s="153">
        <v>0</v>
      </c>
      <c r="D71" s="153">
        <v>0</v>
      </c>
      <c r="E71" s="153">
        <v>0</v>
      </c>
      <c r="F71" s="153">
        <v>0</v>
      </c>
      <c r="G71" s="73">
        <f>SUM(G72:G75)</f>
        <v>0</v>
      </c>
    </row>
    <row r="72" spans="1:8" x14ac:dyDescent="0.25">
      <c r="A72" s="68" t="s">
        <v>391</v>
      </c>
      <c r="B72" s="70">
        <v>0</v>
      </c>
      <c r="C72" s="70">
        <v>0</v>
      </c>
      <c r="D72" s="70">
        <v>0</v>
      </c>
      <c r="E72" s="70">
        <v>0</v>
      </c>
      <c r="F72" s="70">
        <v>0</v>
      </c>
      <c r="G72" s="71">
        <f>D72-E72</f>
        <v>0</v>
      </c>
    </row>
    <row r="73" spans="1:8" ht="30" x14ac:dyDescent="0.25">
      <c r="A73" s="68" t="s">
        <v>392</v>
      </c>
      <c r="B73" s="70">
        <v>0</v>
      </c>
      <c r="C73" s="70">
        <v>0</v>
      </c>
      <c r="D73" s="70">
        <v>0</v>
      </c>
      <c r="E73" s="70">
        <v>0</v>
      </c>
      <c r="F73" s="70">
        <v>0</v>
      </c>
      <c r="G73" s="71">
        <f t="shared" ref="G73:G75" si="22">D73-E73</f>
        <v>0</v>
      </c>
    </row>
    <row r="74" spans="1:8" x14ac:dyDescent="0.25">
      <c r="A74" s="68" t="s">
        <v>393</v>
      </c>
      <c r="B74" s="70">
        <v>0</v>
      </c>
      <c r="C74" s="70">
        <v>0</v>
      </c>
      <c r="D74" s="70">
        <v>0</v>
      </c>
      <c r="E74" s="70">
        <v>0</v>
      </c>
      <c r="F74" s="70">
        <v>0</v>
      </c>
      <c r="G74" s="71">
        <f t="shared" si="22"/>
        <v>0</v>
      </c>
    </row>
    <row r="75" spans="1:8" x14ac:dyDescent="0.25">
      <c r="A75" s="68" t="s">
        <v>394</v>
      </c>
      <c r="B75" s="70">
        <v>0</v>
      </c>
      <c r="C75" s="70">
        <v>0</v>
      </c>
      <c r="D75" s="70">
        <v>0</v>
      </c>
      <c r="E75" s="70">
        <v>0</v>
      </c>
      <c r="F75" s="70">
        <v>0</v>
      </c>
      <c r="G75" s="71">
        <f t="shared" si="22"/>
        <v>0</v>
      </c>
    </row>
    <row r="76" spans="1:8" x14ac:dyDescent="0.25">
      <c r="A76" s="54"/>
      <c r="B76" s="74"/>
      <c r="C76" s="74"/>
      <c r="D76" s="74"/>
      <c r="E76" s="74"/>
      <c r="F76" s="74"/>
      <c r="G76" s="74"/>
    </row>
    <row r="77" spans="1:8" x14ac:dyDescent="0.25">
      <c r="A77" s="55" t="s">
        <v>360</v>
      </c>
      <c r="B77" s="72">
        <f>B43+B9</f>
        <v>94839000</v>
      </c>
      <c r="C77" s="72">
        <f t="shared" ref="C77:F77" si="23">C43+C9</f>
        <v>38599726</v>
      </c>
      <c r="D77" s="72">
        <f t="shared" si="23"/>
        <v>133438726</v>
      </c>
      <c r="E77" s="72">
        <f t="shared" si="23"/>
        <v>60582670.610000007</v>
      </c>
      <c r="F77" s="72">
        <f t="shared" si="23"/>
        <v>60507130.610000007</v>
      </c>
      <c r="G77" s="72">
        <f>G43+G9</f>
        <v>72856055.390000015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55939000</v>
      </c>
      <c r="Q2" s="18">
        <f>'Formato 6 c)'!C9</f>
        <v>16167838.890000001</v>
      </c>
      <c r="R2" s="18">
        <f>'Formato 6 c)'!D9</f>
        <v>72106838.890000001</v>
      </c>
      <c r="S2" s="18">
        <f>'Formato 6 c)'!E9</f>
        <v>42083784.600000009</v>
      </c>
      <c r="T2" s="18">
        <f>'Formato 6 c)'!F9</f>
        <v>42083784.600000009</v>
      </c>
      <c r="U2" s="18">
        <f>'Formato 6 c)'!G9</f>
        <v>30023054.289999999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34427653.68</v>
      </c>
      <c r="Q3" s="18">
        <f>'Formato 6 c)'!C10</f>
        <v>9232845.9900000002</v>
      </c>
      <c r="R3" s="18">
        <f>'Formato 6 c)'!D10</f>
        <v>43660499.670000009</v>
      </c>
      <c r="S3" s="18">
        <f>'Formato 6 c)'!E10</f>
        <v>24067062.270000003</v>
      </c>
      <c r="T3" s="18">
        <f>'Formato 6 c)'!F10</f>
        <v>24067062.270000003</v>
      </c>
      <c r="U3" s="18">
        <f>'Formato 6 c)'!G10</f>
        <v>19593437.400000002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6411063</v>
      </c>
      <c r="Q4" s="18">
        <f>'Formato 6 c)'!C11</f>
        <v>428950.59</v>
      </c>
      <c r="R4" s="18">
        <f>'Formato 6 c)'!D11</f>
        <v>6840013.5899999999</v>
      </c>
      <c r="S4" s="18">
        <f>'Formato 6 c)'!E11</f>
        <v>4197635.5</v>
      </c>
      <c r="T4" s="18">
        <f>'Formato 6 c)'!F11</f>
        <v>4197635.5</v>
      </c>
      <c r="U4" s="18">
        <f>'Formato 6 c)'!G11</f>
        <v>2642378.09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456941.55</v>
      </c>
      <c r="Q5" s="18">
        <f>'Formato 6 c)'!C12</f>
        <v>20000</v>
      </c>
      <c r="R5" s="18">
        <f>'Formato 6 c)'!D12</f>
        <v>476941.55</v>
      </c>
      <c r="S5" s="18">
        <f>'Formato 6 c)'!E12</f>
        <v>272668.67</v>
      </c>
      <c r="T5" s="18">
        <f>'Formato 6 c)'!F12</f>
        <v>272668.67</v>
      </c>
      <c r="U5" s="18">
        <f>'Formato 6 c)'!G12</f>
        <v>204272.88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14894408.91</v>
      </c>
      <c r="Q6" s="18">
        <f>'Formato 6 c)'!C13</f>
        <v>3815013.35</v>
      </c>
      <c r="R6" s="18">
        <f>'Formato 6 c)'!D13</f>
        <v>18709422.260000002</v>
      </c>
      <c r="S6" s="18">
        <f>'Formato 6 c)'!E13</f>
        <v>8817222.7100000009</v>
      </c>
      <c r="T6" s="18">
        <f>'Formato 6 c)'!F13</f>
        <v>8817222.7100000009</v>
      </c>
      <c r="U6" s="18">
        <f>'Formato 6 c)'!G13</f>
        <v>9892199.5500000007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7617345.4000000004</v>
      </c>
      <c r="Q8" s="18">
        <f>'Formato 6 c)'!C15</f>
        <v>1274630.99</v>
      </c>
      <c r="R8" s="18">
        <f>'Formato 6 c)'!D15</f>
        <v>8891976.3900000006</v>
      </c>
      <c r="S8" s="18">
        <f>'Formato 6 c)'!E15</f>
        <v>5267777.2</v>
      </c>
      <c r="T8" s="18">
        <f>'Formato 6 c)'!F15</f>
        <v>5267777.2</v>
      </c>
      <c r="U8" s="18">
        <f>'Formato 6 c)'!G15</f>
        <v>3624199.1900000004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285995.88</v>
      </c>
      <c r="Q10" s="18">
        <f>'Formato 6 c)'!C17</f>
        <v>76929.89</v>
      </c>
      <c r="R10" s="18">
        <f>'Formato 6 c)'!D17</f>
        <v>362925.77</v>
      </c>
      <c r="S10" s="18">
        <f>'Formato 6 c)'!E17</f>
        <v>155563.89000000001</v>
      </c>
      <c r="T10" s="18">
        <f>'Formato 6 c)'!F17</f>
        <v>155563.89000000001</v>
      </c>
      <c r="U10" s="18">
        <f>'Formato 6 c)'!G17</f>
        <v>207361.88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4761898.9400000004</v>
      </c>
      <c r="Q11" s="18">
        <f>'Formato 6 c)'!C18</f>
        <v>3617321.17</v>
      </c>
      <c r="R11" s="18">
        <f>'Formato 6 c)'!D18</f>
        <v>8379220.1100000003</v>
      </c>
      <c r="S11" s="18">
        <f>'Formato 6 c)'!E18</f>
        <v>5356194.3</v>
      </c>
      <c r="T11" s="18">
        <f>'Formato 6 c)'!F18</f>
        <v>5356194.3</v>
      </c>
      <c r="U11" s="18">
        <f>'Formato 6 c)'!G18</f>
        <v>3023025.8100000005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20210317.760000002</v>
      </c>
      <c r="Q12" s="18">
        <f>'Formato 6 c)'!C19</f>
        <v>5153510.97</v>
      </c>
      <c r="R12" s="18">
        <f>'Formato 6 c)'!D19</f>
        <v>25363828.73</v>
      </c>
      <c r="S12" s="18">
        <f>'Formato 6 c)'!E19</f>
        <v>17126989.239999998</v>
      </c>
      <c r="T12" s="18">
        <f>'Formato 6 c)'!F19</f>
        <v>17126989.239999998</v>
      </c>
      <c r="U12" s="18">
        <f>'Formato 6 c)'!G19</f>
        <v>8236839.4900000002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674240.2</v>
      </c>
      <c r="Q13" s="18">
        <f>'Formato 6 c)'!C20</f>
        <v>-35000</v>
      </c>
      <c r="R13" s="18">
        <f>'Formato 6 c)'!D20</f>
        <v>639240.19999999995</v>
      </c>
      <c r="S13" s="18">
        <f>'Formato 6 c)'!E20</f>
        <v>355684.94</v>
      </c>
      <c r="T13" s="18">
        <f>'Formato 6 c)'!F20</f>
        <v>355684.94</v>
      </c>
      <c r="U13" s="18">
        <f>'Formato 6 c)'!G20</f>
        <v>283555.25999999995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11141985.810000001</v>
      </c>
      <c r="Q14" s="18">
        <f>'Formato 6 c)'!C21</f>
        <v>2716549.44</v>
      </c>
      <c r="R14" s="18">
        <f>'Formato 6 c)'!D21</f>
        <v>13858535.25</v>
      </c>
      <c r="S14" s="18">
        <f>'Formato 6 c)'!E21</f>
        <v>8340464.8499999996</v>
      </c>
      <c r="T14" s="18">
        <f>'Formato 6 c)'!F21</f>
        <v>8340464.8499999996</v>
      </c>
      <c r="U14" s="18">
        <f>'Formato 6 c)'!G21</f>
        <v>5518070.4000000004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4530499.04</v>
      </c>
      <c r="Q16" s="18">
        <f>'Formato 6 c)'!C23</f>
        <v>1048890</v>
      </c>
      <c r="R16" s="18">
        <f>'Formato 6 c)'!D23</f>
        <v>5579389.04</v>
      </c>
      <c r="S16" s="18">
        <f>'Formato 6 c)'!E23</f>
        <v>4166272.67</v>
      </c>
      <c r="T16" s="18">
        <f>'Formato 6 c)'!F23</f>
        <v>4166272.67</v>
      </c>
      <c r="U16" s="18">
        <f>'Formato 6 c)'!G23</f>
        <v>1413116.37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1636739.21</v>
      </c>
      <c r="Q17" s="18">
        <f>'Formato 6 c)'!C24</f>
        <v>-21000</v>
      </c>
      <c r="R17" s="18">
        <f>'Formato 6 c)'!D24</f>
        <v>1615739.21</v>
      </c>
      <c r="S17" s="18">
        <f>'Formato 6 c)'!E24</f>
        <v>899974.1</v>
      </c>
      <c r="T17" s="18">
        <f>'Formato 6 c)'!F24</f>
        <v>899974.1</v>
      </c>
      <c r="U17" s="18">
        <f>'Formato 6 c)'!G24</f>
        <v>715765.11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2226853.5</v>
      </c>
      <c r="Q18" s="18">
        <f>'Formato 6 c)'!C25</f>
        <v>1444071.53</v>
      </c>
      <c r="R18" s="18">
        <f>'Formato 6 c)'!D25</f>
        <v>3670925.0300000003</v>
      </c>
      <c r="S18" s="18">
        <f>'Formato 6 c)'!E25</f>
        <v>3364592.68</v>
      </c>
      <c r="T18" s="18">
        <f>'Formato 6 c)'!F25</f>
        <v>3364592.68</v>
      </c>
      <c r="U18" s="18">
        <f>'Formato 6 c)'!G25</f>
        <v>306332.35000000009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1301028.56</v>
      </c>
      <c r="Q20" s="18">
        <f>'Formato 6 c)'!C27</f>
        <v>1781481.93</v>
      </c>
      <c r="R20" s="18">
        <f>'Formato 6 c)'!D27</f>
        <v>3082510.49</v>
      </c>
      <c r="S20" s="18">
        <f>'Formato 6 c)'!E27</f>
        <v>889733.09</v>
      </c>
      <c r="T20" s="18">
        <f>'Formato 6 c)'!F27</f>
        <v>889733.09</v>
      </c>
      <c r="U20" s="18">
        <f>'Formato 6 c)'!G27</f>
        <v>2192777.4000000004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322102.73</v>
      </c>
      <c r="Q21" s="18">
        <f>'Formato 6 c)'!C28</f>
        <v>-48500</v>
      </c>
      <c r="R21" s="18">
        <f>'Formato 6 c)'!D28</f>
        <v>273602.73</v>
      </c>
      <c r="S21" s="18">
        <f>'Formato 6 c)'!E28</f>
        <v>149956.59</v>
      </c>
      <c r="T21" s="18">
        <f>'Formato 6 c)'!F28</f>
        <v>149956.59</v>
      </c>
      <c r="U21" s="18">
        <f>'Formato 6 c)'!G28</f>
        <v>123646.13999999998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447623.05</v>
      </c>
      <c r="Q22" s="18">
        <f>'Formato 6 c)'!C29</f>
        <v>1804656.55</v>
      </c>
      <c r="R22" s="18">
        <f>'Formato 6 c)'!D29</f>
        <v>2252279.6</v>
      </c>
      <c r="S22" s="18">
        <f>'Formato 6 c)'!E29</f>
        <v>427710.88</v>
      </c>
      <c r="T22" s="18">
        <f>'Formato 6 c)'!F29</f>
        <v>427710.88</v>
      </c>
      <c r="U22" s="18">
        <f>'Formato 6 c)'!G29</f>
        <v>1824568.7200000002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531302.78</v>
      </c>
      <c r="Q27" s="18">
        <f>'Formato 6 c)'!C34</f>
        <v>25325.38</v>
      </c>
      <c r="R27" s="18">
        <f>'Formato 6 c)'!D34</f>
        <v>556628.16</v>
      </c>
      <c r="S27" s="18">
        <f>'Formato 6 c)'!E34</f>
        <v>312065.62</v>
      </c>
      <c r="T27" s="18">
        <f>'Formato 6 c)'!F34</f>
        <v>312065.62</v>
      </c>
      <c r="U27" s="18">
        <f>'Formato 6 c)'!G34</f>
        <v>244562.54000000004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38900000</v>
      </c>
      <c r="Q35" s="18">
        <f>'Formato 6 c)'!C43</f>
        <v>22431887.109999999</v>
      </c>
      <c r="R35" s="18">
        <f>'Formato 6 c)'!D43</f>
        <v>61331887.110000007</v>
      </c>
      <c r="S35" s="18">
        <f>'Formato 6 c)'!E43</f>
        <v>18498886.009999998</v>
      </c>
      <c r="T35" s="18">
        <f>'Formato 6 c)'!F43</f>
        <v>18423346.009999998</v>
      </c>
      <c r="U35" s="18">
        <f>'Formato 6 c)'!G43</f>
        <v>42833001.100000009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10705723.74</v>
      </c>
      <c r="Q36" s="18">
        <f>'Formato 6 c)'!C44</f>
        <v>3306827.43</v>
      </c>
      <c r="R36" s="18">
        <f>'Formato 6 c)'!D44</f>
        <v>14012551.17</v>
      </c>
      <c r="S36" s="18">
        <f>'Formato 6 c)'!E44</f>
        <v>7795879</v>
      </c>
      <c r="T36" s="18">
        <f>'Formato 6 c)'!F44</f>
        <v>7720339</v>
      </c>
      <c r="U36" s="18">
        <f>'Formato 6 c)'!G44</f>
        <v>6216672.1699999999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10705723.74</v>
      </c>
      <c r="Q43" s="18">
        <f>'Formato 6 c)'!C51</f>
        <v>3306827.43</v>
      </c>
      <c r="R43" s="18">
        <f>'Formato 6 c)'!D51</f>
        <v>14012551.17</v>
      </c>
      <c r="S43" s="18">
        <f>'Formato 6 c)'!E51</f>
        <v>7795879</v>
      </c>
      <c r="T43" s="18">
        <f>'Formato 6 c)'!F51</f>
        <v>7720339</v>
      </c>
      <c r="U43" s="18">
        <f>'Formato 6 c)'!G51</f>
        <v>6216672.1699999999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27394276.260000002</v>
      </c>
      <c r="Q45" s="18">
        <f>'Formato 6 c)'!C53</f>
        <v>17563992.079999998</v>
      </c>
      <c r="R45" s="18">
        <f>'Formato 6 c)'!D53</f>
        <v>44958268.340000004</v>
      </c>
      <c r="S45" s="18">
        <f>'Formato 6 c)'!E53</f>
        <v>10703007.01</v>
      </c>
      <c r="T45" s="18">
        <f>'Formato 6 c)'!F53</f>
        <v>10703007.01</v>
      </c>
      <c r="U45" s="18">
        <f>'Formato 6 c)'!G53</f>
        <v>34255261.330000006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27394276.260000002</v>
      </c>
      <c r="Q47" s="18">
        <f>'Formato 6 c)'!C55</f>
        <v>17363992.079999998</v>
      </c>
      <c r="R47" s="18">
        <f>'Formato 6 c)'!D55</f>
        <v>44758268.340000004</v>
      </c>
      <c r="S47" s="18">
        <f>'Formato 6 c)'!E55</f>
        <v>10650133.689999999</v>
      </c>
      <c r="T47" s="18">
        <f>'Formato 6 c)'!F55</f>
        <v>10650133.689999999</v>
      </c>
      <c r="U47" s="18">
        <f>'Formato 6 c)'!G55</f>
        <v>34108134.650000006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200000</v>
      </c>
      <c r="R51" s="18">
        <f>'Formato 6 c)'!D59</f>
        <v>200000</v>
      </c>
      <c r="S51" s="18">
        <f>'Formato 6 c)'!E59</f>
        <v>52873.32</v>
      </c>
      <c r="T51" s="18">
        <f>'Formato 6 c)'!F59</f>
        <v>52873.32</v>
      </c>
      <c r="U51" s="18">
        <f>'Formato 6 c)'!G59</f>
        <v>147126.68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800000</v>
      </c>
      <c r="Q53" s="18">
        <f>'Formato 6 c)'!C61</f>
        <v>1561067.6</v>
      </c>
      <c r="R53" s="18">
        <f>'Formato 6 c)'!D61</f>
        <v>2361067.6</v>
      </c>
      <c r="S53" s="18">
        <f>'Formato 6 c)'!E61</f>
        <v>0</v>
      </c>
      <c r="T53" s="18">
        <f>'Formato 6 c)'!F61</f>
        <v>0</v>
      </c>
      <c r="U53" s="18">
        <f>'Formato 6 c)'!G61</f>
        <v>2361067.6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800000</v>
      </c>
      <c r="Q55" s="18">
        <f>'Formato 6 c)'!C63</f>
        <v>1561067.6</v>
      </c>
      <c r="R55" s="18">
        <f>'Formato 6 c)'!D63</f>
        <v>2361067.6</v>
      </c>
      <c r="S55" s="18">
        <f>'Formato 6 c)'!E63</f>
        <v>0</v>
      </c>
      <c r="T55" s="18">
        <f>'Formato 6 c)'!F63</f>
        <v>0</v>
      </c>
      <c r="U55" s="18">
        <f>'Formato 6 c)'!G63</f>
        <v>2361067.6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94839000</v>
      </c>
      <c r="Q68" s="18">
        <f>'Formato 6 c)'!C77</f>
        <v>38599726</v>
      </c>
      <c r="R68" s="18">
        <f>'Formato 6 c)'!D77</f>
        <v>133438726</v>
      </c>
      <c r="S68" s="18">
        <f>'Formato 6 c)'!E77</f>
        <v>60582670.610000007</v>
      </c>
      <c r="T68" s="18">
        <f>'Formato 6 c)'!F77</f>
        <v>60507130.610000007</v>
      </c>
      <c r="U68" s="18">
        <f>'Formato 6 c)'!G77</f>
        <v>72856055.390000015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Municipio de Tierra Blanca Guanajuato, Gobierno del Estado de Guanajuato</v>
      </c>
    </row>
    <row r="7" spans="2:3" ht="14.25" x14ac:dyDescent="0.45">
      <c r="C7" t="str">
        <f>CONCATENATE(ENTE_PUBLICO," (a)")</f>
        <v>Municipio de Tierra Blanca Guanajuato,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45">
      <c r="B10" t="s">
        <v>796</v>
      </c>
      <c r="C10" s="24" t="s">
        <v>1167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Tierra Blanca, Gobierno del Estado de Guanajuato</v>
      </c>
    </row>
    <row r="12" spans="2:3" x14ac:dyDescent="0.25">
      <c r="B12" t="s">
        <v>794</v>
      </c>
      <c r="C12" s="24">
        <v>2022</v>
      </c>
    </row>
    <row r="14" spans="2:3" ht="14.25" x14ac:dyDescent="0.45">
      <c r="B14" t="s">
        <v>793</v>
      </c>
      <c r="C14" s="24" t="s">
        <v>3303</v>
      </c>
    </row>
    <row r="15" spans="2:3" ht="14.25" x14ac:dyDescent="0.45">
      <c r="C15" s="24">
        <v>3</v>
      </c>
    </row>
    <row r="16" spans="2:3" ht="14.25" x14ac:dyDescent="0.45">
      <c r="C16" s="24" t="s">
        <v>3304</v>
      </c>
    </row>
    <row r="18" spans="4:9" ht="120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septiembre de 2022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septiembre de 2022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septiembre de 2022 (m = g – l)</v>
      </c>
    </row>
    <row r="20" spans="4:9" ht="57" x14ac:dyDescent="0.45">
      <c r="D20" s="21" t="str">
        <f>CONCATENATE(ANIO_INFORME, " (d)")</f>
        <v>2022 (d)</v>
      </c>
      <c r="E20" s="22" t="str">
        <f>CONCATENATE("31 de diciembre de ",ANIO_INFORME-1, " (e)")</f>
        <v>31 de diciembre de 2021 (e)</v>
      </c>
      <c r="F20" s="31" t="str">
        <f>CONCATENATE("Saldo al 31 de diciembre de ",ANIO_INFORME-1, " (d)")</f>
        <v>Saldo al 31 de diciembre de 2021 (d)</v>
      </c>
    </row>
    <row r="23" spans="4:9" x14ac:dyDescent="0.25">
      <c r="D23" s="33">
        <f>ANIO_INFORME + 1</f>
        <v>2023</v>
      </c>
      <c r="E23" s="34" t="str">
        <f>CONCATENATE(ANIO_INFORME + 2, " (d)")</f>
        <v>2024 (d)</v>
      </c>
      <c r="F23" s="34" t="str">
        <f>CONCATENATE(ANIO_INFORME + 3, " (d)")</f>
        <v>2025 (d)</v>
      </c>
      <c r="G23" s="34" t="str">
        <f>CONCATENATE(ANIO_INFORME + 4, " (d)")</f>
        <v>2026 (d)</v>
      </c>
      <c r="H23" s="34" t="str">
        <f>CONCATENATE(ANIO_INFORME + 5, " (d)")</f>
        <v>2027 (d)</v>
      </c>
      <c r="I23" s="34" t="str">
        <f>CONCATENATE(ANIO_INFORME + 6, " (d)")</f>
        <v>2028 (d)</v>
      </c>
    </row>
    <row r="25" spans="4:9" x14ac:dyDescent="0.25">
      <c r="D25" s="35" t="str">
        <f>CONCATENATE(ANIO_INFORME - 5, " ",CHAR(185)," (c)")</f>
        <v>2017 ¹ (c)</v>
      </c>
      <c r="E25" s="35" t="str">
        <f>CONCATENATE(ANIO_INFORME - 4, " ",CHAR(185)," (c)")</f>
        <v>2018 ¹ (c)</v>
      </c>
      <c r="F25" s="35" t="str">
        <f>CONCATENATE(ANIO_INFORME - 3, " ",CHAR(185)," (c)")</f>
        <v>2019 ¹ (c)</v>
      </c>
      <c r="G25" s="35" t="str">
        <f>CONCATENATE(ANIO_INFORME - 2, " ",CHAR(185)," (c)")</f>
        <v>2020 ¹ (c)</v>
      </c>
      <c r="H25" s="35" t="str">
        <f>CONCATENATE(ANIO_INFORME - 1, " ",CHAR(185)," (c)")</f>
        <v>2021 ¹ (c)</v>
      </c>
      <c r="I25" s="33">
        <f>ANIO_INFORME</f>
        <v>2022</v>
      </c>
    </row>
    <row r="26" spans="4:9" x14ac:dyDescent="0.25">
      <c r="D26" s="91"/>
    </row>
    <row r="29" spans="4:9" x14ac:dyDescent="0.25">
      <c r="D29" t="s">
        <v>3143</v>
      </c>
      <c r="E29" t="s">
        <v>3144</v>
      </c>
    </row>
    <row r="30" spans="4:9" x14ac:dyDescent="0.25">
      <c r="D30" s="136">
        <v>-1.7976931348623099E+100</v>
      </c>
      <c r="E30" s="136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37">
        <v>36526</v>
      </c>
      <c r="E33" s="137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topLeftCell="A10" zoomScale="80" zoomScaleNormal="80" workbookViewId="0">
      <selection activeCell="C31" sqref="C31:C32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208" t="s">
        <v>3287</v>
      </c>
      <c r="B1" s="207"/>
      <c r="C1" s="207"/>
      <c r="D1" s="207"/>
      <c r="E1" s="207"/>
      <c r="F1" s="207"/>
      <c r="G1" s="207"/>
    </row>
    <row r="2" spans="1:7" x14ac:dyDescent="0.25">
      <c r="A2" s="189" t="str">
        <f>ENTE_PUBLICO_A</f>
        <v>Municipio de Tierra Blanca Guanajuato, Gobierno del Estado de Guanajuato (a)</v>
      </c>
      <c r="B2" s="190"/>
      <c r="C2" s="190"/>
      <c r="D2" s="190"/>
      <c r="E2" s="190"/>
      <c r="F2" s="190"/>
      <c r="G2" s="191"/>
    </row>
    <row r="3" spans="1:7" x14ac:dyDescent="0.25">
      <c r="A3" s="195" t="s">
        <v>277</v>
      </c>
      <c r="B3" s="196"/>
      <c r="C3" s="196"/>
      <c r="D3" s="196"/>
      <c r="E3" s="196"/>
      <c r="F3" s="196"/>
      <c r="G3" s="197"/>
    </row>
    <row r="4" spans="1:7" x14ac:dyDescent="0.25">
      <c r="A4" s="195" t="s">
        <v>399</v>
      </c>
      <c r="B4" s="196"/>
      <c r="C4" s="196"/>
      <c r="D4" s="196"/>
      <c r="E4" s="196"/>
      <c r="F4" s="196"/>
      <c r="G4" s="197"/>
    </row>
    <row r="5" spans="1:7" x14ac:dyDescent="0.25">
      <c r="A5" s="195" t="str">
        <f>TRIMESTRE</f>
        <v>Del 1 de enero al 30 de septiembre de 2022 (b)</v>
      </c>
      <c r="B5" s="196"/>
      <c r="C5" s="196"/>
      <c r="D5" s="196"/>
      <c r="E5" s="196"/>
      <c r="F5" s="196"/>
      <c r="G5" s="197"/>
    </row>
    <row r="6" spans="1:7" x14ac:dyDescent="0.25">
      <c r="A6" s="198" t="s">
        <v>118</v>
      </c>
      <c r="B6" s="199"/>
      <c r="C6" s="199"/>
      <c r="D6" s="199"/>
      <c r="E6" s="199"/>
      <c r="F6" s="199"/>
      <c r="G6" s="200"/>
    </row>
    <row r="7" spans="1:7" x14ac:dyDescent="0.25">
      <c r="A7" s="204" t="s">
        <v>361</v>
      </c>
      <c r="B7" s="209" t="s">
        <v>279</v>
      </c>
      <c r="C7" s="209"/>
      <c r="D7" s="209"/>
      <c r="E7" s="209"/>
      <c r="F7" s="209"/>
      <c r="G7" s="209" t="s">
        <v>280</v>
      </c>
    </row>
    <row r="8" spans="1:7" ht="29.25" customHeight="1" x14ac:dyDescent="0.25">
      <c r="A8" s="205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216"/>
    </row>
    <row r="9" spans="1:7" x14ac:dyDescent="0.25">
      <c r="A9" s="52" t="s">
        <v>400</v>
      </c>
      <c r="B9" s="66">
        <f>SUM(B10,B11,B12,B15,B16,B19)</f>
        <v>30766394.489999998</v>
      </c>
      <c r="C9" s="66">
        <f t="shared" ref="C9:F9" si="0">SUM(C10,C11,C12,C15,C16,C19)</f>
        <v>1662298.65</v>
      </c>
      <c r="D9" s="66">
        <f t="shared" si="0"/>
        <v>32428693.139999997</v>
      </c>
      <c r="E9" s="66">
        <f t="shared" si="0"/>
        <v>18683409.550000001</v>
      </c>
      <c r="F9" s="66">
        <f t="shared" si="0"/>
        <v>18683409.550000001</v>
      </c>
      <c r="G9" s="66">
        <f>SUM(G10,G11,G12,G15,G16,G19)</f>
        <v>13745283.589999996</v>
      </c>
    </row>
    <row r="10" spans="1:7" ht="14.25" customHeight="1" x14ac:dyDescent="0.25">
      <c r="A10" s="53" t="s">
        <v>401</v>
      </c>
      <c r="B10" s="183">
        <v>30766394.489999998</v>
      </c>
      <c r="C10" s="183">
        <v>1662298.65</v>
      </c>
      <c r="D10" s="184">
        <f>B10+C10</f>
        <v>32428693.139999997</v>
      </c>
      <c r="E10" s="183">
        <v>18683409.550000001</v>
      </c>
      <c r="F10" s="183">
        <v>18683409.550000001</v>
      </c>
      <c r="G10" s="184">
        <f>D10-E10</f>
        <v>13745283.589999996</v>
      </c>
    </row>
    <row r="11" spans="1:7" ht="14.25" customHeight="1" x14ac:dyDescent="0.25">
      <c r="A11" s="53" t="s">
        <v>402</v>
      </c>
      <c r="B11" s="170">
        <v>0</v>
      </c>
      <c r="C11" s="170">
        <v>0</v>
      </c>
      <c r="D11" s="184">
        <f t="shared" ref="D11:D19" si="1">B11+C11</f>
        <v>0</v>
      </c>
      <c r="E11" s="170">
        <v>0</v>
      </c>
      <c r="F11" s="170">
        <v>0</v>
      </c>
      <c r="G11" s="170">
        <v>0</v>
      </c>
    </row>
    <row r="12" spans="1:7" ht="14.25" customHeight="1" x14ac:dyDescent="0.25">
      <c r="A12" s="53" t="s">
        <v>403</v>
      </c>
      <c r="B12" s="170">
        <v>0</v>
      </c>
      <c r="C12" s="170">
        <v>0</v>
      </c>
      <c r="D12" s="184">
        <f t="shared" si="1"/>
        <v>0</v>
      </c>
      <c r="E12" s="170">
        <v>0</v>
      </c>
      <c r="F12" s="170">
        <v>0</v>
      </c>
      <c r="G12" s="170">
        <v>0</v>
      </c>
    </row>
    <row r="13" spans="1:7" ht="14.25" customHeight="1" x14ac:dyDescent="0.25">
      <c r="A13" s="63" t="s">
        <v>404</v>
      </c>
      <c r="B13" s="171">
        <v>0</v>
      </c>
      <c r="C13" s="171">
        <v>0</v>
      </c>
      <c r="D13" s="184">
        <f t="shared" si="1"/>
        <v>0</v>
      </c>
      <c r="E13" s="171">
        <v>0</v>
      </c>
      <c r="F13" s="171">
        <v>0</v>
      </c>
      <c r="G13" s="171">
        <v>0</v>
      </c>
    </row>
    <row r="14" spans="1:7" x14ac:dyDescent="0.25">
      <c r="A14" s="63" t="s">
        <v>405</v>
      </c>
      <c r="B14" s="171">
        <v>0</v>
      </c>
      <c r="C14" s="171">
        <v>0</v>
      </c>
      <c r="D14" s="184">
        <f t="shared" si="1"/>
        <v>0</v>
      </c>
      <c r="E14" s="171">
        <v>0</v>
      </c>
      <c r="F14" s="171">
        <v>0</v>
      </c>
      <c r="G14" s="171">
        <v>0</v>
      </c>
    </row>
    <row r="15" spans="1:7" x14ac:dyDescent="0.25">
      <c r="A15" s="53" t="s">
        <v>406</v>
      </c>
      <c r="B15" s="172">
        <v>0</v>
      </c>
      <c r="C15" s="172">
        <v>0</v>
      </c>
      <c r="D15" s="184">
        <f t="shared" si="1"/>
        <v>0</v>
      </c>
      <c r="E15" s="172">
        <v>0</v>
      </c>
      <c r="F15" s="172">
        <v>0</v>
      </c>
      <c r="G15" s="172">
        <v>0</v>
      </c>
    </row>
    <row r="16" spans="1:7" x14ac:dyDescent="0.25">
      <c r="A16" s="64" t="s">
        <v>407</v>
      </c>
      <c r="B16" s="172">
        <v>0</v>
      </c>
      <c r="C16" s="172">
        <v>0</v>
      </c>
      <c r="D16" s="184">
        <f t="shared" si="1"/>
        <v>0</v>
      </c>
      <c r="E16" s="172">
        <v>0</v>
      </c>
      <c r="F16" s="172">
        <v>0</v>
      </c>
      <c r="G16" s="172">
        <v>0</v>
      </c>
    </row>
    <row r="17" spans="1:7" x14ac:dyDescent="0.25">
      <c r="A17" s="63" t="s">
        <v>408</v>
      </c>
      <c r="B17" s="172">
        <v>0</v>
      </c>
      <c r="C17" s="172">
        <v>0</v>
      </c>
      <c r="D17" s="184">
        <f t="shared" si="1"/>
        <v>0</v>
      </c>
      <c r="E17" s="172">
        <v>0</v>
      </c>
      <c r="F17" s="172">
        <v>0</v>
      </c>
      <c r="G17" s="172">
        <v>0</v>
      </c>
    </row>
    <row r="18" spans="1:7" x14ac:dyDescent="0.25">
      <c r="A18" s="63" t="s">
        <v>409</v>
      </c>
      <c r="B18" s="172">
        <v>0</v>
      </c>
      <c r="C18" s="172">
        <v>0</v>
      </c>
      <c r="D18" s="184">
        <f t="shared" si="1"/>
        <v>0</v>
      </c>
      <c r="E18" s="172">
        <v>0</v>
      </c>
      <c r="F18" s="172">
        <v>0</v>
      </c>
      <c r="G18" s="172">
        <v>0</v>
      </c>
    </row>
    <row r="19" spans="1:7" x14ac:dyDescent="0.25">
      <c r="A19" s="53" t="s">
        <v>410</v>
      </c>
      <c r="B19" s="172">
        <v>0</v>
      </c>
      <c r="C19" s="172">
        <v>0</v>
      </c>
      <c r="D19" s="184">
        <f t="shared" si="1"/>
        <v>0</v>
      </c>
      <c r="E19" s="172">
        <v>0</v>
      </c>
      <c r="F19" s="172">
        <v>0</v>
      </c>
      <c r="G19" s="172">
        <v>0</v>
      </c>
    </row>
    <row r="20" spans="1:7" x14ac:dyDescent="0.25">
      <c r="A20" s="54"/>
      <c r="B20" s="67"/>
      <c r="C20" s="67"/>
      <c r="D20" s="67"/>
      <c r="E20" s="67"/>
      <c r="F20" s="67"/>
      <c r="G20" s="67"/>
    </row>
    <row r="21" spans="1:7" s="24" customFormat="1" x14ac:dyDescent="0.25">
      <c r="A21" s="14" t="s">
        <v>411</v>
      </c>
      <c r="B21" s="66">
        <f>SUM(B22,B23,B24,B27,B28,B31)</f>
        <v>8475223.7400000002</v>
      </c>
      <c r="C21" s="66">
        <f t="shared" ref="C21:F21" si="2">SUM(C22,C23,C24,C27,C28,C31)</f>
        <v>977118.8</v>
      </c>
      <c r="D21" s="66">
        <f t="shared" si="2"/>
        <v>9452342.540000001</v>
      </c>
      <c r="E21" s="66">
        <f t="shared" si="2"/>
        <v>5257315.33</v>
      </c>
      <c r="F21" s="66">
        <f t="shared" si="2"/>
        <v>5181775.33</v>
      </c>
      <c r="G21" s="66">
        <f>SUM(G22,G23,G24,G27,G28,G31)</f>
        <v>4195027.2100000009</v>
      </c>
    </row>
    <row r="22" spans="1:7" s="24" customFormat="1" ht="14.25" customHeight="1" x14ac:dyDescent="0.25">
      <c r="A22" s="53" t="s">
        <v>401</v>
      </c>
      <c r="B22" s="183">
        <v>8475223.7400000002</v>
      </c>
      <c r="C22" s="183">
        <v>977118.8</v>
      </c>
      <c r="D22" s="184">
        <f>B22+C22</f>
        <v>9452342.540000001</v>
      </c>
      <c r="E22" s="183">
        <v>5257315.33</v>
      </c>
      <c r="F22" s="183">
        <v>5181775.33</v>
      </c>
      <c r="G22" s="184">
        <f>D22-E22</f>
        <v>4195027.2100000009</v>
      </c>
    </row>
    <row r="23" spans="1:7" s="24" customFormat="1" x14ac:dyDescent="0.25">
      <c r="A23" s="53" t="s">
        <v>402</v>
      </c>
      <c r="B23" s="173">
        <v>0</v>
      </c>
      <c r="C23" s="173">
        <v>0</v>
      </c>
      <c r="D23" s="173">
        <v>0</v>
      </c>
      <c r="E23" s="173">
        <v>0</v>
      </c>
      <c r="F23" s="173">
        <v>0</v>
      </c>
      <c r="G23" s="173">
        <v>0</v>
      </c>
    </row>
    <row r="24" spans="1:7" s="24" customFormat="1" x14ac:dyDescent="0.25">
      <c r="A24" s="53" t="s">
        <v>403</v>
      </c>
      <c r="B24" s="173">
        <v>0</v>
      </c>
      <c r="C24" s="173">
        <v>0</v>
      </c>
      <c r="D24" s="173">
        <v>0</v>
      </c>
      <c r="E24" s="173">
        <v>0</v>
      </c>
      <c r="F24" s="173">
        <v>0</v>
      </c>
      <c r="G24" s="173">
        <v>0</v>
      </c>
    </row>
    <row r="25" spans="1:7" s="24" customFormat="1" x14ac:dyDescent="0.25">
      <c r="A25" s="63" t="s">
        <v>404</v>
      </c>
      <c r="B25" s="173">
        <v>0</v>
      </c>
      <c r="C25" s="173">
        <v>0</v>
      </c>
      <c r="D25" s="173">
        <v>0</v>
      </c>
      <c r="E25" s="173">
        <v>0</v>
      </c>
      <c r="F25" s="173">
        <v>0</v>
      </c>
      <c r="G25" s="173">
        <v>0</v>
      </c>
    </row>
    <row r="26" spans="1:7" s="24" customFormat="1" x14ac:dyDescent="0.25">
      <c r="A26" s="63" t="s">
        <v>405</v>
      </c>
      <c r="B26" s="173">
        <v>0</v>
      </c>
      <c r="C26" s="173">
        <v>0</v>
      </c>
      <c r="D26" s="173">
        <v>0</v>
      </c>
      <c r="E26" s="173">
        <v>0</v>
      </c>
      <c r="F26" s="173">
        <v>0</v>
      </c>
      <c r="G26" s="173">
        <v>0</v>
      </c>
    </row>
    <row r="27" spans="1:7" s="24" customFormat="1" x14ac:dyDescent="0.25">
      <c r="A27" s="53" t="s">
        <v>406</v>
      </c>
      <c r="B27" s="173">
        <v>0</v>
      </c>
      <c r="C27" s="173">
        <v>0</v>
      </c>
      <c r="D27" s="173"/>
      <c r="E27" s="173">
        <v>0</v>
      </c>
      <c r="F27" s="173">
        <v>0</v>
      </c>
      <c r="G27" s="173"/>
    </row>
    <row r="28" spans="1:7" s="24" customFormat="1" x14ac:dyDescent="0.25">
      <c r="A28" s="64" t="s">
        <v>407</v>
      </c>
      <c r="B28" s="173">
        <v>0</v>
      </c>
      <c r="C28" s="173">
        <v>0</v>
      </c>
      <c r="D28" s="173">
        <v>0</v>
      </c>
      <c r="E28" s="173">
        <v>0</v>
      </c>
      <c r="F28" s="173">
        <v>0</v>
      </c>
      <c r="G28" s="173">
        <v>0</v>
      </c>
    </row>
    <row r="29" spans="1:7" s="24" customFormat="1" x14ac:dyDescent="0.25">
      <c r="A29" s="63" t="s">
        <v>408</v>
      </c>
      <c r="B29" s="173">
        <v>0</v>
      </c>
      <c r="C29" s="173">
        <v>0</v>
      </c>
      <c r="D29" s="173">
        <v>0</v>
      </c>
      <c r="E29" s="173">
        <v>0</v>
      </c>
      <c r="F29" s="173">
        <v>0</v>
      </c>
      <c r="G29" s="173">
        <v>0</v>
      </c>
    </row>
    <row r="30" spans="1:7" s="24" customFormat="1" x14ac:dyDescent="0.25">
      <c r="A30" s="63" t="s">
        <v>409</v>
      </c>
      <c r="B30" s="173">
        <v>0</v>
      </c>
      <c r="C30" s="173">
        <v>0</v>
      </c>
      <c r="D30" s="173">
        <v>0</v>
      </c>
      <c r="E30" s="173">
        <v>0</v>
      </c>
      <c r="F30" s="173">
        <v>0</v>
      </c>
      <c r="G30" s="173">
        <v>0</v>
      </c>
    </row>
    <row r="31" spans="1:7" s="24" customFormat="1" x14ac:dyDescent="0.25">
      <c r="A31" s="53" t="s">
        <v>410</v>
      </c>
      <c r="B31" s="173">
        <v>0</v>
      </c>
      <c r="C31" s="173">
        <v>0</v>
      </c>
      <c r="D31" s="173">
        <v>0</v>
      </c>
      <c r="E31" s="173">
        <v>0</v>
      </c>
      <c r="F31" s="173">
        <v>0</v>
      </c>
      <c r="G31" s="173">
        <v>0</v>
      </c>
    </row>
    <row r="32" spans="1:7" x14ac:dyDescent="0.25">
      <c r="A32" s="54"/>
      <c r="B32" s="67"/>
      <c r="C32" s="67"/>
      <c r="D32" s="67"/>
      <c r="E32" s="67"/>
      <c r="F32" s="67"/>
      <c r="G32" s="67"/>
    </row>
    <row r="33" spans="1:7" x14ac:dyDescent="0.25">
      <c r="A33" s="55" t="s">
        <v>412</v>
      </c>
      <c r="B33" s="66">
        <f>B21+B9</f>
        <v>39241618.229999997</v>
      </c>
      <c r="C33" s="66">
        <f t="shared" ref="C33:G33" si="3">C21+C9</f>
        <v>2639417.4500000002</v>
      </c>
      <c r="D33" s="66">
        <f t="shared" si="3"/>
        <v>41881035.68</v>
      </c>
      <c r="E33" s="66">
        <f t="shared" si="3"/>
        <v>23940724.880000003</v>
      </c>
      <c r="F33" s="66">
        <f>F21+F9</f>
        <v>23865184.880000003</v>
      </c>
      <c r="G33" s="66">
        <f t="shared" si="3"/>
        <v>17940310.799999997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30766394.489999998</v>
      </c>
      <c r="Q2" s="18">
        <f>'Formato 6 d)'!C9</f>
        <v>1662298.65</v>
      </c>
      <c r="R2" s="18">
        <f>'Formato 6 d)'!D9</f>
        <v>32428693.139999997</v>
      </c>
      <c r="S2" s="18">
        <f>'Formato 6 d)'!E9</f>
        <v>18683409.550000001</v>
      </c>
      <c r="T2" s="18">
        <f>'Formato 6 d)'!F9</f>
        <v>18683409.550000001</v>
      </c>
      <c r="U2" s="18">
        <f>'Formato 6 d)'!G9</f>
        <v>13745283.589999996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30766394.489999998</v>
      </c>
      <c r="Q3" s="18">
        <f>'Formato 6 d)'!C10</f>
        <v>1662298.65</v>
      </c>
      <c r="R3" s="18">
        <f>'Formato 6 d)'!D10</f>
        <v>32428693.139999997</v>
      </c>
      <c r="S3" s="18">
        <f>'Formato 6 d)'!E10</f>
        <v>18683409.550000001</v>
      </c>
      <c r="T3" s="18">
        <f>'Formato 6 d)'!F10</f>
        <v>18683409.550000001</v>
      </c>
      <c r="U3" s="18">
        <f>'Formato 6 d)'!G10</f>
        <v>13745283.589999996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8475223.7400000002</v>
      </c>
      <c r="Q13" s="18">
        <f>'Formato 6 d)'!C21</f>
        <v>977118.8</v>
      </c>
      <c r="R13" s="18">
        <f>'Formato 6 d)'!D21</f>
        <v>9452342.540000001</v>
      </c>
      <c r="S13" s="18">
        <f>'Formato 6 d)'!E21</f>
        <v>5257315.33</v>
      </c>
      <c r="T13" s="18">
        <f>'Formato 6 d)'!F21</f>
        <v>5181775.33</v>
      </c>
      <c r="U13" s="18">
        <f>'Formato 6 d)'!G21</f>
        <v>4195027.2100000009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8475223.7400000002</v>
      </c>
      <c r="Q14" s="18">
        <f>'Formato 6 d)'!C22</f>
        <v>977118.8</v>
      </c>
      <c r="R14" s="18">
        <f>'Formato 6 d)'!D22</f>
        <v>9452342.540000001</v>
      </c>
      <c r="S14" s="18">
        <f>'Formato 6 d)'!E22</f>
        <v>5257315.33</v>
      </c>
      <c r="T14" s="18">
        <f>'Formato 6 d)'!F22</f>
        <v>5181775.33</v>
      </c>
      <c r="U14" s="18">
        <f>'Formato 6 d)'!G22</f>
        <v>4195027.2100000009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39241618.229999997</v>
      </c>
      <c r="Q24" s="18">
        <f>'Formato 6 d)'!C33</f>
        <v>2639417.4500000002</v>
      </c>
      <c r="R24" s="18">
        <f>'Formato 6 d)'!D33</f>
        <v>41881035.68</v>
      </c>
      <c r="S24" s="18">
        <f>'Formato 6 d)'!E33</f>
        <v>23940724.880000003</v>
      </c>
      <c r="T24" s="18">
        <f>'Formato 6 d)'!F33</f>
        <v>23865184.880000003</v>
      </c>
      <c r="U24" s="18">
        <f>'Formato 6 d)'!G33</f>
        <v>17940310.799999997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2" zoomScale="85" zoomScaleNormal="85" zoomScalePageLayoutView="90" workbookViewId="0">
      <selection activeCell="A2" sqref="A2:G2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45">
      <c r="A1" s="207" t="s">
        <v>413</v>
      </c>
      <c r="B1" s="207"/>
      <c r="C1" s="207"/>
      <c r="D1" s="207"/>
      <c r="E1" s="207"/>
      <c r="F1" s="207"/>
      <c r="G1" s="207"/>
    </row>
    <row r="2" spans="1:7" ht="14.25" x14ac:dyDescent="0.45">
      <c r="A2" s="189" t="str">
        <f>ENTIDAD</f>
        <v>Municipio de Tierra Blanca, Gobierno del Estado de Guanajuato</v>
      </c>
      <c r="B2" s="190"/>
      <c r="C2" s="190"/>
      <c r="D2" s="190"/>
      <c r="E2" s="190"/>
      <c r="F2" s="190"/>
      <c r="G2" s="191"/>
    </row>
    <row r="3" spans="1:7" ht="14.25" x14ac:dyDescent="0.45">
      <c r="A3" s="192" t="s">
        <v>414</v>
      </c>
      <c r="B3" s="193"/>
      <c r="C3" s="193"/>
      <c r="D3" s="193"/>
      <c r="E3" s="193"/>
      <c r="F3" s="193"/>
      <c r="G3" s="194"/>
    </row>
    <row r="4" spans="1:7" ht="14.25" x14ac:dyDescent="0.45">
      <c r="A4" s="192" t="s">
        <v>118</v>
      </c>
      <c r="B4" s="193"/>
      <c r="C4" s="193"/>
      <c r="D4" s="193"/>
      <c r="E4" s="193"/>
      <c r="F4" s="193"/>
      <c r="G4" s="194"/>
    </row>
    <row r="5" spans="1:7" ht="14.25" x14ac:dyDescent="0.45">
      <c r="A5" s="192" t="s">
        <v>415</v>
      </c>
      <c r="B5" s="193"/>
      <c r="C5" s="193"/>
      <c r="D5" s="193"/>
      <c r="E5" s="193"/>
      <c r="F5" s="193"/>
      <c r="G5" s="194"/>
    </row>
    <row r="6" spans="1:7" x14ac:dyDescent="0.25">
      <c r="A6" s="204" t="s">
        <v>3288</v>
      </c>
      <c r="B6" s="51">
        <f>ANIO1P</f>
        <v>2023</v>
      </c>
      <c r="C6" s="217" t="str">
        <f>ANIO2P</f>
        <v>2024 (d)</v>
      </c>
      <c r="D6" s="217" t="str">
        <f>ANIO3P</f>
        <v>2025 (d)</v>
      </c>
      <c r="E6" s="217" t="str">
        <f>ANIO4P</f>
        <v>2026 (d)</v>
      </c>
      <c r="F6" s="217" t="str">
        <f>ANIO5P</f>
        <v>2027 (d)</v>
      </c>
      <c r="G6" s="217" t="str">
        <f>ANIO6P</f>
        <v>2028 (d)</v>
      </c>
    </row>
    <row r="7" spans="1:7" ht="48" customHeight="1" x14ac:dyDescent="0.25">
      <c r="A7" s="205"/>
      <c r="B7" s="87" t="s">
        <v>3291</v>
      </c>
      <c r="C7" s="218"/>
      <c r="D7" s="218"/>
      <c r="E7" s="218"/>
      <c r="F7" s="218"/>
      <c r="G7" s="218"/>
    </row>
    <row r="8" spans="1:7" x14ac:dyDescent="0.25">
      <c r="A8" s="52" t="s">
        <v>421</v>
      </c>
      <c r="B8" s="59">
        <f>SUM(B9:B20)</f>
        <v>12</v>
      </c>
      <c r="C8" s="59">
        <f t="shared" ref="C8:G8" si="0">SUM(C9:C20)</f>
        <v>18</v>
      </c>
      <c r="D8" s="59">
        <f t="shared" si="0"/>
        <v>24</v>
      </c>
      <c r="E8" s="59">
        <f t="shared" si="0"/>
        <v>30</v>
      </c>
      <c r="F8" s="59">
        <f t="shared" si="0"/>
        <v>36</v>
      </c>
      <c r="G8" s="59">
        <f t="shared" si="0"/>
        <v>42</v>
      </c>
    </row>
    <row r="9" spans="1:7" ht="14.25" x14ac:dyDescent="0.45">
      <c r="A9" s="53" t="s">
        <v>216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ht="14.25" x14ac:dyDescent="0.45">
      <c r="A10" s="53" t="s">
        <v>217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ht="14.25" x14ac:dyDescent="0.45">
      <c r="A11" s="53" t="s">
        <v>218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ht="14.25" x14ac:dyDescent="0.45">
      <c r="A12" s="53" t="s">
        <v>416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ht="14.25" x14ac:dyDescent="0.45">
      <c r="A13" s="53" t="s">
        <v>220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ht="14.25" x14ac:dyDescent="0.45">
      <c r="A14" s="53" t="s">
        <v>221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ht="14.25" x14ac:dyDescent="0.45">
      <c r="A15" s="53" t="s">
        <v>417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ht="14.25" x14ac:dyDescent="0.45">
      <c r="A16" s="53" t="s">
        <v>418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10" t="s">
        <v>419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53" t="s">
        <v>240</v>
      </c>
      <c r="B18" s="60">
        <v>1</v>
      </c>
      <c r="C18" s="60">
        <v>1.5</v>
      </c>
      <c r="D18" s="60">
        <v>2</v>
      </c>
      <c r="E18" s="60">
        <v>2.5</v>
      </c>
      <c r="F18" s="60">
        <v>3</v>
      </c>
      <c r="G18" s="60">
        <v>3.5</v>
      </c>
    </row>
    <row r="19" spans="1:7" ht="14.25" x14ac:dyDescent="0.45">
      <c r="A19" s="53" t="s">
        <v>241</v>
      </c>
      <c r="B19" s="60">
        <v>1</v>
      </c>
      <c r="C19" s="60">
        <v>1.5</v>
      </c>
      <c r="D19" s="60">
        <v>2</v>
      </c>
      <c r="E19" s="60">
        <v>2.5</v>
      </c>
      <c r="F19" s="60">
        <v>3</v>
      </c>
      <c r="G19" s="60">
        <v>3.5</v>
      </c>
    </row>
    <row r="20" spans="1:7" x14ac:dyDescent="0.25">
      <c r="A20" s="53" t="s">
        <v>420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>SUM(B23:B27)</f>
        <v>5</v>
      </c>
      <c r="C22" s="61">
        <f t="shared" ref="C22:G22" si="1">SUM(C23:C27)</f>
        <v>7.5</v>
      </c>
      <c r="D22" s="61">
        <f t="shared" si="1"/>
        <v>10</v>
      </c>
      <c r="E22" s="61">
        <f t="shared" si="1"/>
        <v>12.5</v>
      </c>
      <c r="F22" s="61">
        <f t="shared" si="1"/>
        <v>15</v>
      </c>
      <c r="G22" s="61">
        <f t="shared" si="1"/>
        <v>17.5</v>
      </c>
    </row>
    <row r="23" spans="1:7" x14ac:dyDescent="0.25">
      <c r="A23" s="53" t="s">
        <v>423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424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425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6" t="s">
        <v>265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266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1</v>
      </c>
      <c r="C29" s="61">
        <f t="shared" ref="C29:G29" si="2">C30</f>
        <v>1.5</v>
      </c>
      <c r="D29" s="61">
        <f t="shared" si="2"/>
        <v>2</v>
      </c>
      <c r="E29" s="61">
        <f t="shared" si="2"/>
        <v>2.5</v>
      </c>
      <c r="F29" s="61">
        <f t="shared" si="2"/>
        <v>3</v>
      </c>
      <c r="G29" s="61">
        <f t="shared" si="2"/>
        <v>3.5</v>
      </c>
    </row>
    <row r="30" spans="1:7" x14ac:dyDescent="0.25">
      <c r="A30" s="53" t="s">
        <v>269</v>
      </c>
      <c r="B30" s="60">
        <v>1</v>
      </c>
      <c r="C30" s="60">
        <v>1.5</v>
      </c>
      <c r="D30" s="60">
        <v>2</v>
      </c>
      <c r="E30" s="60">
        <v>2.5</v>
      </c>
      <c r="F30" s="60">
        <v>3</v>
      </c>
      <c r="G30" s="60">
        <v>3.5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18</v>
      </c>
      <c r="C32" s="61">
        <f t="shared" ref="C32:F32" si="3">C29+C22+C8</f>
        <v>27</v>
      </c>
      <c r="D32" s="61">
        <f t="shared" si="3"/>
        <v>36</v>
      </c>
      <c r="E32" s="61">
        <f t="shared" si="3"/>
        <v>45</v>
      </c>
      <c r="F32" s="61">
        <f t="shared" si="3"/>
        <v>54</v>
      </c>
      <c r="G32" s="61">
        <f>G29+G22+G8</f>
        <v>63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1</v>
      </c>
      <c r="C35" s="60">
        <v>1.5</v>
      </c>
      <c r="D35" s="60">
        <v>2</v>
      </c>
      <c r="E35" s="60">
        <v>2.5</v>
      </c>
      <c r="F35" s="60">
        <v>3</v>
      </c>
      <c r="G35" s="60">
        <v>3.5</v>
      </c>
    </row>
    <row r="36" spans="1:7" ht="30" x14ac:dyDescent="0.25">
      <c r="A36" s="57" t="s">
        <v>273</v>
      </c>
      <c r="B36" s="60">
        <v>1</v>
      </c>
      <c r="C36" s="60">
        <v>1.5</v>
      </c>
      <c r="D36" s="60">
        <v>2</v>
      </c>
      <c r="E36" s="60">
        <v>2.5</v>
      </c>
      <c r="F36" s="60">
        <v>3</v>
      </c>
      <c r="G36" s="60">
        <v>3.5</v>
      </c>
    </row>
    <row r="37" spans="1:7" x14ac:dyDescent="0.25">
      <c r="A37" s="55" t="s">
        <v>429</v>
      </c>
      <c r="B37" s="61">
        <f>B36+B35</f>
        <v>2</v>
      </c>
      <c r="C37" s="61">
        <f t="shared" ref="C37:F37" si="4">C36+C35</f>
        <v>3</v>
      </c>
      <c r="D37" s="61">
        <f t="shared" si="4"/>
        <v>4</v>
      </c>
      <c r="E37" s="61">
        <f t="shared" si="4"/>
        <v>5</v>
      </c>
      <c r="F37" s="61">
        <f t="shared" si="4"/>
        <v>6</v>
      </c>
      <c r="G37" s="61">
        <f>G36+G35</f>
        <v>7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12</v>
      </c>
      <c r="Q2" s="18">
        <f>'Formato 7 a)'!C8</f>
        <v>18</v>
      </c>
      <c r="R2" s="18">
        <f>'Formato 7 a)'!D8</f>
        <v>24</v>
      </c>
      <c r="S2" s="18">
        <f>'Formato 7 a)'!E8</f>
        <v>30</v>
      </c>
      <c r="T2" s="18">
        <f>'Formato 7 a)'!F8</f>
        <v>36</v>
      </c>
      <c r="U2" s="18">
        <f>'Formato 7 a)'!G8</f>
        <v>42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1</v>
      </c>
      <c r="Q3" s="18">
        <f>'Formato 7 a)'!C9</f>
        <v>1.5</v>
      </c>
      <c r="R3" s="18">
        <f>'Formato 7 a)'!D9</f>
        <v>2</v>
      </c>
      <c r="S3" s="18">
        <f>'Formato 7 a)'!E9</f>
        <v>2.5</v>
      </c>
      <c r="T3" s="18">
        <f>'Formato 7 a)'!F9</f>
        <v>3</v>
      </c>
      <c r="U3" s="18">
        <f>'Formato 7 a)'!G9</f>
        <v>3.5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1</v>
      </c>
      <c r="Q4" s="18">
        <f>'Formato 7 a)'!C10</f>
        <v>1.5</v>
      </c>
      <c r="R4" s="18">
        <f>'Formato 7 a)'!D10</f>
        <v>2</v>
      </c>
      <c r="S4" s="18">
        <f>'Formato 7 a)'!E10</f>
        <v>2.5</v>
      </c>
      <c r="T4" s="18">
        <f>'Formato 7 a)'!F10</f>
        <v>3</v>
      </c>
      <c r="U4" s="18">
        <f>'Formato 7 a)'!G10</f>
        <v>3.5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1</v>
      </c>
      <c r="Q5" s="18">
        <f>'Formato 7 a)'!C11</f>
        <v>1.5</v>
      </c>
      <c r="R5" s="18">
        <f>'Formato 7 a)'!D11</f>
        <v>2</v>
      </c>
      <c r="S5" s="18">
        <f>'Formato 7 a)'!E11</f>
        <v>2.5</v>
      </c>
      <c r="T5" s="18">
        <f>'Formato 7 a)'!F11</f>
        <v>3</v>
      </c>
      <c r="U5" s="18">
        <f>'Formato 7 a)'!G11</f>
        <v>3.5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1</v>
      </c>
      <c r="Q6" s="18">
        <f>'Formato 7 a)'!C12</f>
        <v>1.5</v>
      </c>
      <c r="R6" s="18">
        <f>'Formato 7 a)'!D12</f>
        <v>2</v>
      </c>
      <c r="S6" s="18">
        <f>'Formato 7 a)'!E12</f>
        <v>2.5</v>
      </c>
      <c r="T6" s="18">
        <f>'Formato 7 a)'!F12</f>
        <v>3</v>
      </c>
      <c r="U6" s="18">
        <f>'Formato 7 a)'!G12</f>
        <v>3.5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</v>
      </c>
      <c r="Q7" s="18">
        <f>'Formato 7 a)'!C13</f>
        <v>1.5</v>
      </c>
      <c r="R7" s="18">
        <f>'Formato 7 a)'!D13</f>
        <v>2</v>
      </c>
      <c r="S7" s="18">
        <f>'Formato 7 a)'!E13</f>
        <v>2.5</v>
      </c>
      <c r="T7" s="18">
        <f>'Formato 7 a)'!F13</f>
        <v>3</v>
      </c>
      <c r="U7" s="18">
        <f>'Formato 7 a)'!G13</f>
        <v>3.5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1</v>
      </c>
      <c r="Q8" s="18">
        <f>'Formato 7 a)'!C14</f>
        <v>1.5</v>
      </c>
      <c r="R8" s="18">
        <f>'Formato 7 a)'!D14</f>
        <v>2</v>
      </c>
      <c r="S8" s="18">
        <f>'Formato 7 a)'!E14</f>
        <v>2.5</v>
      </c>
      <c r="T8" s="18">
        <f>'Formato 7 a)'!F14</f>
        <v>3</v>
      </c>
      <c r="U8" s="18">
        <f>'Formato 7 a)'!G14</f>
        <v>3.5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1</v>
      </c>
      <c r="Q9" s="18">
        <f>'Formato 7 a)'!C15</f>
        <v>1.5</v>
      </c>
      <c r="R9" s="18">
        <f>'Formato 7 a)'!D15</f>
        <v>2</v>
      </c>
      <c r="S9" s="18">
        <f>'Formato 7 a)'!E15</f>
        <v>2.5</v>
      </c>
      <c r="T9" s="18">
        <f>'Formato 7 a)'!F15</f>
        <v>3</v>
      </c>
      <c r="U9" s="18">
        <f>'Formato 7 a)'!G15</f>
        <v>3.5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1</v>
      </c>
      <c r="Q10" s="18">
        <f>'Formato 7 a)'!C16</f>
        <v>1.5</v>
      </c>
      <c r="R10" s="18">
        <f>'Formato 7 a)'!D16</f>
        <v>2</v>
      </c>
      <c r="S10" s="18">
        <f>'Formato 7 a)'!E16</f>
        <v>2.5</v>
      </c>
      <c r="T10" s="18">
        <f>'Formato 7 a)'!F16</f>
        <v>3</v>
      </c>
      <c r="U10" s="18">
        <f>'Formato 7 a)'!G16</f>
        <v>3.5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1</v>
      </c>
      <c r="Q11" s="18">
        <f>'Formato 7 a)'!C17</f>
        <v>1.5</v>
      </c>
      <c r="R11" s="18">
        <f>'Formato 7 a)'!D17</f>
        <v>2</v>
      </c>
      <c r="S11" s="18">
        <f>'Formato 7 a)'!E17</f>
        <v>2.5</v>
      </c>
      <c r="T11" s="18">
        <f>'Formato 7 a)'!F17</f>
        <v>3</v>
      </c>
      <c r="U11" s="18">
        <f>'Formato 7 a)'!G17</f>
        <v>3.5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</v>
      </c>
      <c r="Q12" s="18">
        <f>'Formato 7 a)'!C18</f>
        <v>1.5</v>
      </c>
      <c r="R12" s="18">
        <f>'Formato 7 a)'!D18</f>
        <v>2</v>
      </c>
      <c r="S12" s="18">
        <f>'Formato 7 a)'!E18</f>
        <v>2.5</v>
      </c>
      <c r="T12" s="18">
        <f>'Formato 7 a)'!F18</f>
        <v>3</v>
      </c>
      <c r="U12" s="18">
        <f>'Formato 7 a)'!G18</f>
        <v>3.5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1</v>
      </c>
      <c r="Q13" s="18">
        <f>'Formato 7 a)'!C19</f>
        <v>1.5</v>
      </c>
      <c r="R13" s="18">
        <f>'Formato 7 a)'!D19</f>
        <v>2</v>
      </c>
      <c r="S13" s="18">
        <f>'Formato 7 a)'!E19</f>
        <v>2.5</v>
      </c>
      <c r="T13" s="18">
        <f>'Formato 7 a)'!F19</f>
        <v>3</v>
      </c>
      <c r="U13" s="18">
        <f>'Formato 7 a)'!G19</f>
        <v>3.5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1</v>
      </c>
      <c r="Q14" s="18">
        <f>'Formato 7 a)'!C20</f>
        <v>1.5</v>
      </c>
      <c r="R14" s="18">
        <f>'Formato 7 a)'!D20</f>
        <v>2</v>
      </c>
      <c r="S14" s="18">
        <f>'Formato 7 a)'!E20</f>
        <v>2.5</v>
      </c>
      <c r="T14" s="18">
        <f>'Formato 7 a)'!F20</f>
        <v>3</v>
      </c>
      <c r="U14" s="18">
        <f>'Formato 7 a)'!G20</f>
        <v>3.5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5</v>
      </c>
      <c r="Q15" s="18">
        <f>'Formato 7 a)'!C22</f>
        <v>7.5</v>
      </c>
      <c r="R15" s="18">
        <f>'Formato 7 a)'!D22</f>
        <v>10</v>
      </c>
      <c r="S15" s="18">
        <f>'Formato 7 a)'!E22</f>
        <v>12.5</v>
      </c>
      <c r="T15" s="18">
        <f>'Formato 7 a)'!F22</f>
        <v>15</v>
      </c>
      <c r="U15" s="18">
        <f>'Formato 7 a)'!G22</f>
        <v>17.5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1</v>
      </c>
      <c r="Q16" s="18">
        <f>'Formato 7 a)'!C23</f>
        <v>1.5</v>
      </c>
      <c r="R16" s="18">
        <f>'Formato 7 a)'!D23</f>
        <v>2</v>
      </c>
      <c r="S16" s="18">
        <f>'Formato 7 a)'!E23</f>
        <v>2.5</v>
      </c>
      <c r="T16" s="18">
        <f>'Formato 7 a)'!F23</f>
        <v>3</v>
      </c>
      <c r="U16" s="18">
        <f>'Formato 7 a)'!G23</f>
        <v>3.5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1</v>
      </c>
      <c r="Q17" s="18">
        <f>'Formato 7 a)'!C24</f>
        <v>1.5</v>
      </c>
      <c r="R17" s="18">
        <f>'Formato 7 a)'!D24</f>
        <v>2</v>
      </c>
      <c r="S17" s="18">
        <f>'Formato 7 a)'!E24</f>
        <v>2.5</v>
      </c>
      <c r="T17" s="18">
        <f>'Formato 7 a)'!F24</f>
        <v>3</v>
      </c>
      <c r="U17" s="18">
        <f>'Formato 7 a)'!G24</f>
        <v>3.5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1</v>
      </c>
      <c r="Q18" s="18">
        <f>'Formato 7 a)'!C25</f>
        <v>1.5</v>
      </c>
      <c r="R18" s="18">
        <f>'Formato 7 a)'!D25</f>
        <v>2</v>
      </c>
      <c r="S18" s="18">
        <f>'Formato 7 a)'!E25</f>
        <v>2.5</v>
      </c>
      <c r="T18" s="18">
        <f>'Formato 7 a)'!F25</f>
        <v>3</v>
      </c>
      <c r="U18" s="18">
        <f>'Formato 7 a)'!G25</f>
        <v>3.5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1</v>
      </c>
      <c r="Q19" s="18">
        <f>'Formato 7 a)'!C26</f>
        <v>1.5</v>
      </c>
      <c r="R19" s="18">
        <f>'Formato 7 a)'!D26</f>
        <v>2</v>
      </c>
      <c r="S19" s="18">
        <f>'Formato 7 a)'!E26</f>
        <v>2.5</v>
      </c>
      <c r="T19" s="18">
        <f>'Formato 7 a)'!F26</f>
        <v>3</v>
      </c>
      <c r="U19" s="18">
        <f>'Formato 7 a)'!G26</f>
        <v>3.5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1</v>
      </c>
      <c r="Q20" s="18">
        <f>'Formato 7 a)'!C27</f>
        <v>1.5</v>
      </c>
      <c r="R20" s="18">
        <f>'Formato 7 a)'!D27</f>
        <v>2</v>
      </c>
      <c r="S20" s="18">
        <f>'Formato 7 a)'!E27</f>
        <v>2.5</v>
      </c>
      <c r="T20" s="18">
        <f>'Formato 7 a)'!F27</f>
        <v>3</v>
      </c>
      <c r="U20" s="18">
        <f>'Formato 7 a)'!G27</f>
        <v>3.5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1</v>
      </c>
      <c r="Q21" s="18">
        <f>'Formato 7 a)'!C29</f>
        <v>1.5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1</v>
      </c>
      <c r="Q22" s="18">
        <f>'Formato 7 a)'!C30</f>
        <v>1.5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18</v>
      </c>
      <c r="Q23" s="18">
        <f>'Formato 7 a)'!C32</f>
        <v>27</v>
      </c>
      <c r="R23" s="18">
        <f>'Formato 7 a)'!D32</f>
        <v>36</v>
      </c>
      <c r="S23" s="18">
        <f>'Formato 7 a)'!E32</f>
        <v>45</v>
      </c>
      <c r="T23" s="18">
        <f>'Formato 7 a)'!F32</f>
        <v>54</v>
      </c>
      <c r="U23" s="18">
        <f>'Formato 7 a)'!G32</f>
        <v>63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1</v>
      </c>
      <c r="Q25" s="18">
        <f>'Formato 7 a)'!C35</f>
        <v>1.5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1</v>
      </c>
      <c r="Q26" s="18">
        <f>'Formato 7 a)'!C36</f>
        <v>1.5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2</v>
      </c>
      <c r="Q27" s="18">
        <f>'Formato 7 a)'!C37</f>
        <v>3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C11" sqref="C11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45">
      <c r="A1" s="207" t="s">
        <v>451</v>
      </c>
      <c r="B1" s="207"/>
      <c r="C1" s="207"/>
      <c r="D1" s="207"/>
      <c r="E1" s="207"/>
      <c r="F1" s="207"/>
      <c r="G1" s="207"/>
    </row>
    <row r="2" spans="1:7" customFormat="1" ht="14.25" x14ac:dyDescent="0.45">
      <c r="A2" s="189" t="str">
        <f>ENTIDAD</f>
        <v>Municipio de Tierra Blanca, Gobierno del Estado de Guanajuato</v>
      </c>
      <c r="B2" s="190"/>
      <c r="C2" s="190"/>
      <c r="D2" s="190"/>
      <c r="E2" s="190"/>
      <c r="F2" s="190"/>
      <c r="G2" s="191"/>
    </row>
    <row r="3" spans="1:7" customFormat="1" ht="14.25" x14ac:dyDescent="0.45">
      <c r="A3" s="192" t="s">
        <v>452</v>
      </c>
      <c r="B3" s="193"/>
      <c r="C3" s="193"/>
      <c r="D3" s="193"/>
      <c r="E3" s="193"/>
      <c r="F3" s="193"/>
      <c r="G3" s="194"/>
    </row>
    <row r="4" spans="1:7" customFormat="1" ht="14.25" x14ac:dyDescent="0.45">
      <c r="A4" s="192" t="s">
        <v>118</v>
      </c>
      <c r="B4" s="193"/>
      <c r="C4" s="193"/>
      <c r="D4" s="193"/>
      <c r="E4" s="193"/>
      <c r="F4" s="193"/>
      <c r="G4" s="194"/>
    </row>
    <row r="5" spans="1:7" customFormat="1" ht="14.25" x14ac:dyDescent="0.45">
      <c r="A5" s="192" t="s">
        <v>415</v>
      </c>
      <c r="B5" s="193"/>
      <c r="C5" s="193"/>
      <c r="D5" s="193"/>
      <c r="E5" s="193"/>
      <c r="F5" s="193"/>
      <c r="G5" s="194"/>
    </row>
    <row r="6" spans="1:7" customFormat="1" x14ac:dyDescent="0.25">
      <c r="A6" s="219" t="s">
        <v>3142</v>
      </c>
      <c r="B6" s="51">
        <f>ANIO1P</f>
        <v>2023</v>
      </c>
      <c r="C6" s="217" t="str">
        <f>ANIO2P</f>
        <v>2024 (d)</v>
      </c>
      <c r="D6" s="217" t="str">
        <f>ANIO3P</f>
        <v>2025 (d)</v>
      </c>
      <c r="E6" s="217" t="str">
        <f>ANIO4P</f>
        <v>2026 (d)</v>
      </c>
      <c r="F6" s="217" t="str">
        <f>ANIO5P</f>
        <v>2027 (d)</v>
      </c>
      <c r="G6" s="217" t="str">
        <f>ANIO6P</f>
        <v>2028 (d)</v>
      </c>
    </row>
    <row r="7" spans="1:7" customFormat="1" ht="48" customHeight="1" x14ac:dyDescent="0.25">
      <c r="A7" s="220"/>
      <c r="B7" s="87" t="s">
        <v>3291</v>
      </c>
      <c r="C7" s="218"/>
      <c r="D7" s="218"/>
      <c r="E7" s="218"/>
      <c r="F7" s="218"/>
      <c r="G7" s="218"/>
    </row>
    <row r="8" spans="1:7" x14ac:dyDescent="0.25">
      <c r="A8" s="52" t="s">
        <v>453</v>
      </c>
      <c r="B8" s="59">
        <f>SUM(B9:B17)</f>
        <v>9</v>
      </c>
      <c r="C8" s="59">
        <f t="shared" ref="C8:G8" si="0">SUM(C9:C17)</f>
        <v>13.5</v>
      </c>
      <c r="D8" s="59">
        <f t="shared" si="0"/>
        <v>18</v>
      </c>
      <c r="E8" s="59">
        <f t="shared" si="0"/>
        <v>22.5</v>
      </c>
      <c r="F8" s="59">
        <f t="shared" si="0"/>
        <v>27</v>
      </c>
      <c r="G8" s="59">
        <f t="shared" si="0"/>
        <v>31.5</v>
      </c>
    </row>
    <row r="9" spans="1:7" x14ac:dyDescent="0.25">
      <c r="A9" s="53" t="s">
        <v>454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455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456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457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458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459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460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461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53" t="s">
        <v>462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x14ac:dyDescent="0.25">
      <c r="A18" s="88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9</v>
      </c>
      <c r="C19" s="61">
        <f t="shared" ref="C19:G19" si="1">SUM(C20:C28)</f>
        <v>13.5</v>
      </c>
      <c r="D19" s="61">
        <f t="shared" si="1"/>
        <v>18</v>
      </c>
      <c r="E19" s="61">
        <f t="shared" si="1"/>
        <v>22.5</v>
      </c>
      <c r="F19" s="61">
        <f t="shared" si="1"/>
        <v>27</v>
      </c>
      <c r="G19" s="61">
        <f t="shared" si="1"/>
        <v>31.5</v>
      </c>
    </row>
    <row r="20" spans="1:7" x14ac:dyDescent="0.25">
      <c r="A20" s="53" t="s">
        <v>454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3" t="s">
        <v>455</v>
      </c>
      <c r="B21" s="60">
        <v>1</v>
      </c>
      <c r="C21" s="60">
        <v>1.5</v>
      </c>
      <c r="D21" s="60">
        <v>2</v>
      </c>
      <c r="E21" s="60">
        <v>2.5</v>
      </c>
      <c r="F21" s="60">
        <v>3</v>
      </c>
      <c r="G21" s="60">
        <v>3.5</v>
      </c>
    </row>
    <row r="22" spans="1:7" x14ac:dyDescent="0.25">
      <c r="A22" s="53" t="s">
        <v>456</v>
      </c>
      <c r="B22" s="60">
        <v>1</v>
      </c>
      <c r="C22" s="60">
        <v>1.5</v>
      </c>
      <c r="D22" s="60">
        <v>2</v>
      </c>
      <c r="E22" s="60">
        <v>2.5</v>
      </c>
      <c r="F22" s="60">
        <v>3</v>
      </c>
      <c r="G22" s="60">
        <v>3.5</v>
      </c>
    </row>
    <row r="23" spans="1:7" x14ac:dyDescent="0.25">
      <c r="A23" s="53" t="s">
        <v>457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458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459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3" t="s">
        <v>460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464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3" t="s">
        <v>462</v>
      </c>
      <c r="B28" s="60">
        <v>1</v>
      </c>
      <c r="C28" s="60">
        <v>1.5</v>
      </c>
      <c r="D28" s="60">
        <v>2</v>
      </c>
      <c r="E28" s="60">
        <v>2.5</v>
      </c>
      <c r="F28" s="60">
        <v>3</v>
      </c>
      <c r="G28" s="60">
        <v>3.5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18</v>
      </c>
      <c r="C30" s="61">
        <f t="shared" ref="C30:G30" si="2">C8+C19</f>
        <v>27</v>
      </c>
      <c r="D30" s="61">
        <f t="shared" si="2"/>
        <v>36</v>
      </c>
      <c r="E30" s="61">
        <f t="shared" si="2"/>
        <v>45</v>
      </c>
      <c r="F30" s="61">
        <f t="shared" si="2"/>
        <v>54</v>
      </c>
      <c r="G30" s="61">
        <f t="shared" si="2"/>
        <v>63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9</v>
      </c>
      <c r="Q2" s="18">
        <f>'Formato 7 b)'!C8</f>
        <v>13.5</v>
      </c>
      <c r="R2" s="18">
        <f>'Formato 7 b)'!D8</f>
        <v>18</v>
      </c>
      <c r="S2" s="18">
        <f>'Formato 7 b)'!E8</f>
        <v>22.5</v>
      </c>
      <c r="T2" s="18">
        <f>'Formato 7 b)'!F8</f>
        <v>27</v>
      </c>
      <c r="U2" s="18">
        <f>'Formato 7 b)'!G8</f>
        <v>31.5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</v>
      </c>
      <c r="Q3" s="18">
        <f>'Formato 7 b)'!C9</f>
        <v>1.5</v>
      </c>
      <c r="R3" s="18">
        <f>'Formato 7 b)'!D9</f>
        <v>2</v>
      </c>
      <c r="S3" s="18">
        <f>'Formato 7 b)'!E9</f>
        <v>2.5</v>
      </c>
      <c r="T3" s="18">
        <f>'Formato 7 b)'!F9</f>
        <v>3</v>
      </c>
      <c r="U3" s="18">
        <f>'Formato 7 b)'!G9</f>
        <v>3.5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1</v>
      </c>
      <c r="Q4" s="18">
        <f>'Formato 7 b)'!C10</f>
        <v>1.5</v>
      </c>
      <c r="R4" s="18">
        <f>'Formato 7 b)'!D10</f>
        <v>2</v>
      </c>
      <c r="S4" s="18">
        <f>'Formato 7 b)'!E10</f>
        <v>2.5</v>
      </c>
      <c r="T4" s="18">
        <f>'Formato 7 b)'!F10</f>
        <v>3</v>
      </c>
      <c r="U4" s="18">
        <f>'Formato 7 b)'!G10</f>
        <v>3.5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</v>
      </c>
      <c r="Q5" s="18">
        <f>'Formato 7 b)'!C11</f>
        <v>1.5</v>
      </c>
      <c r="R5" s="18">
        <f>'Formato 7 b)'!D11</f>
        <v>2</v>
      </c>
      <c r="S5" s="18">
        <f>'Formato 7 b)'!E11</f>
        <v>2.5</v>
      </c>
      <c r="T5" s="18">
        <f>'Formato 7 b)'!F11</f>
        <v>3</v>
      </c>
      <c r="U5" s="18">
        <f>'Formato 7 b)'!G11</f>
        <v>3.5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</v>
      </c>
      <c r="Q6" s="18">
        <f>'Formato 7 b)'!C12</f>
        <v>1.5</v>
      </c>
      <c r="R6" s="18">
        <f>'Formato 7 b)'!D12</f>
        <v>2</v>
      </c>
      <c r="S6" s="18">
        <f>'Formato 7 b)'!E12</f>
        <v>2.5</v>
      </c>
      <c r="T6" s="18">
        <f>'Formato 7 b)'!F12</f>
        <v>3</v>
      </c>
      <c r="U6" s="18">
        <f>'Formato 7 b)'!G12</f>
        <v>3.5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</v>
      </c>
      <c r="Q7" s="18">
        <f>'Formato 7 b)'!C13</f>
        <v>1.5</v>
      </c>
      <c r="R7" s="18">
        <f>'Formato 7 b)'!D13</f>
        <v>2</v>
      </c>
      <c r="S7" s="18">
        <f>'Formato 7 b)'!E13</f>
        <v>2.5</v>
      </c>
      <c r="T7" s="18">
        <f>'Formato 7 b)'!F13</f>
        <v>3</v>
      </c>
      <c r="U7" s="18">
        <f>'Formato 7 b)'!G13</f>
        <v>3.5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</v>
      </c>
      <c r="Q8" s="18">
        <f>'Formato 7 b)'!C14</f>
        <v>1.5</v>
      </c>
      <c r="R8" s="18">
        <f>'Formato 7 b)'!D14</f>
        <v>2</v>
      </c>
      <c r="S8" s="18">
        <f>'Formato 7 b)'!E14</f>
        <v>2.5</v>
      </c>
      <c r="T8" s="18">
        <f>'Formato 7 b)'!F14</f>
        <v>3</v>
      </c>
      <c r="U8" s="18">
        <f>'Formato 7 b)'!G14</f>
        <v>3.5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1</v>
      </c>
      <c r="Q9" s="18">
        <f>'Formato 7 b)'!C15</f>
        <v>1.5</v>
      </c>
      <c r="R9" s="18">
        <f>'Formato 7 b)'!D15</f>
        <v>2</v>
      </c>
      <c r="S9" s="18">
        <f>'Formato 7 b)'!E15</f>
        <v>2.5</v>
      </c>
      <c r="T9" s="18">
        <f>'Formato 7 b)'!F15</f>
        <v>3</v>
      </c>
      <c r="U9" s="18">
        <f>'Formato 7 b)'!G15</f>
        <v>3.5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1</v>
      </c>
      <c r="Q10" s="18">
        <f>'Formato 7 b)'!C16</f>
        <v>1.5</v>
      </c>
      <c r="R10" s="18">
        <f>'Formato 7 b)'!D16</f>
        <v>2</v>
      </c>
      <c r="S10" s="18">
        <f>'Formato 7 b)'!E16</f>
        <v>2.5</v>
      </c>
      <c r="T10" s="18">
        <f>'Formato 7 b)'!F16</f>
        <v>3</v>
      </c>
      <c r="U10" s="18">
        <f>'Formato 7 b)'!G16</f>
        <v>3.5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1</v>
      </c>
      <c r="Q11" s="18">
        <f>'Formato 7 b)'!C17</f>
        <v>1.5</v>
      </c>
      <c r="R11" s="18">
        <f>'Formato 7 b)'!D17</f>
        <v>2</v>
      </c>
      <c r="S11" s="18">
        <f>'Formato 7 b)'!E17</f>
        <v>2.5</v>
      </c>
      <c r="T11" s="18">
        <f>'Formato 7 b)'!F17</f>
        <v>3</v>
      </c>
      <c r="U11" s="18">
        <f>'Formato 7 b)'!G17</f>
        <v>3.5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9</v>
      </c>
      <c r="Q12" s="18">
        <f>'Formato 7 b)'!C19</f>
        <v>13.5</v>
      </c>
      <c r="R12" s="18">
        <f>'Formato 7 b)'!D19</f>
        <v>18</v>
      </c>
      <c r="S12" s="18">
        <f>'Formato 7 b)'!E19</f>
        <v>22.5</v>
      </c>
      <c r="T12" s="18">
        <f>'Formato 7 b)'!F19</f>
        <v>27</v>
      </c>
      <c r="U12" s="18">
        <f>'Formato 7 b)'!G19</f>
        <v>31.5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1</v>
      </c>
      <c r="Q13" s="18">
        <f>'Formato 7 b)'!C20</f>
        <v>1.5</v>
      </c>
      <c r="R13" s="18">
        <f>'Formato 7 b)'!D20</f>
        <v>2</v>
      </c>
      <c r="S13" s="18">
        <f>'Formato 7 b)'!E20</f>
        <v>2.5</v>
      </c>
      <c r="T13" s="18">
        <f>'Formato 7 b)'!F20</f>
        <v>3</v>
      </c>
      <c r="U13" s="18">
        <f>'Formato 7 b)'!G20</f>
        <v>3.5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1</v>
      </c>
      <c r="Q14" s="18">
        <f>'Formato 7 b)'!C21</f>
        <v>1.5</v>
      </c>
      <c r="R14" s="18">
        <f>'Formato 7 b)'!D21</f>
        <v>2</v>
      </c>
      <c r="S14" s="18">
        <f>'Formato 7 b)'!E21</f>
        <v>2.5</v>
      </c>
      <c r="T14" s="18">
        <f>'Formato 7 b)'!F21</f>
        <v>3</v>
      </c>
      <c r="U14" s="18">
        <f>'Formato 7 b)'!G21</f>
        <v>3.5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1</v>
      </c>
      <c r="Q15" s="18">
        <f>'Formato 7 b)'!C22</f>
        <v>1.5</v>
      </c>
      <c r="R15" s="18">
        <f>'Formato 7 b)'!D22</f>
        <v>2</v>
      </c>
      <c r="S15" s="18">
        <f>'Formato 7 b)'!E22</f>
        <v>2.5</v>
      </c>
      <c r="T15" s="18">
        <f>'Formato 7 b)'!F22</f>
        <v>3</v>
      </c>
      <c r="U15" s="18">
        <f>'Formato 7 b)'!G22</f>
        <v>3.5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1</v>
      </c>
      <c r="Q16" s="18">
        <f>'Formato 7 b)'!C23</f>
        <v>1.5</v>
      </c>
      <c r="R16" s="18">
        <f>'Formato 7 b)'!D23</f>
        <v>2</v>
      </c>
      <c r="S16" s="18">
        <f>'Formato 7 b)'!E23</f>
        <v>2.5</v>
      </c>
      <c r="T16" s="18">
        <f>'Formato 7 b)'!F23</f>
        <v>3</v>
      </c>
      <c r="U16" s="18">
        <f>'Formato 7 b)'!G23</f>
        <v>3.5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1</v>
      </c>
      <c r="Q17" s="18">
        <f>'Formato 7 b)'!C24</f>
        <v>1.5</v>
      </c>
      <c r="R17" s="18">
        <f>'Formato 7 b)'!D24</f>
        <v>2</v>
      </c>
      <c r="S17" s="18">
        <f>'Formato 7 b)'!E24</f>
        <v>2.5</v>
      </c>
      <c r="T17" s="18">
        <f>'Formato 7 b)'!F24</f>
        <v>3</v>
      </c>
      <c r="U17" s="18">
        <f>'Formato 7 b)'!G24</f>
        <v>3.5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1</v>
      </c>
      <c r="Q18" s="18">
        <f>'Formato 7 b)'!C25</f>
        <v>1.5</v>
      </c>
      <c r="R18" s="18">
        <f>'Formato 7 b)'!D25</f>
        <v>2</v>
      </c>
      <c r="S18" s="18">
        <f>'Formato 7 b)'!E25</f>
        <v>2.5</v>
      </c>
      <c r="T18" s="18">
        <f>'Formato 7 b)'!F25</f>
        <v>3</v>
      </c>
      <c r="U18" s="18">
        <f>'Formato 7 b)'!G25</f>
        <v>3.5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1</v>
      </c>
      <c r="Q19" s="18">
        <f>'Formato 7 b)'!C26</f>
        <v>1.5</v>
      </c>
      <c r="R19" s="18">
        <f>'Formato 7 b)'!D26</f>
        <v>2</v>
      </c>
      <c r="S19" s="18">
        <f>'Formato 7 b)'!E26</f>
        <v>2.5</v>
      </c>
      <c r="T19" s="18">
        <f>'Formato 7 b)'!F26</f>
        <v>3</v>
      </c>
      <c r="U19" s="18">
        <f>'Formato 7 b)'!G26</f>
        <v>3.5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1</v>
      </c>
      <c r="Q20" s="18">
        <f>'Formato 7 b)'!C27</f>
        <v>1.5</v>
      </c>
      <c r="R20" s="18">
        <f>'Formato 7 b)'!D27</f>
        <v>2</v>
      </c>
      <c r="S20" s="18">
        <f>'Formato 7 b)'!E27</f>
        <v>2.5</v>
      </c>
      <c r="T20" s="18">
        <f>'Formato 7 b)'!F27</f>
        <v>3</v>
      </c>
      <c r="U20" s="18">
        <f>'Formato 7 b)'!G27</f>
        <v>3.5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1</v>
      </c>
      <c r="Q21" s="18">
        <f>'Formato 7 b)'!C28</f>
        <v>1.5</v>
      </c>
      <c r="R21" s="18">
        <f>'Formato 7 b)'!D28</f>
        <v>2</v>
      </c>
      <c r="S21" s="18">
        <f>'Formato 7 b)'!E28</f>
        <v>2.5</v>
      </c>
      <c r="T21" s="18">
        <f>'Formato 7 b)'!F28</f>
        <v>3</v>
      </c>
      <c r="U21" s="18">
        <f>'Formato 7 b)'!G28</f>
        <v>3.5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18</v>
      </c>
      <c r="Q22" s="18">
        <f>'Formato 7 b)'!C30</f>
        <v>27</v>
      </c>
      <c r="R22" s="18">
        <f>'Formato 7 b)'!D30</f>
        <v>36</v>
      </c>
      <c r="S22" s="18">
        <f>'Formato 7 b)'!E30</f>
        <v>45</v>
      </c>
      <c r="T22" s="18">
        <f>'Formato 7 b)'!F30</f>
        <v>54</v>
      </c>
      <c r="U22" s="18">
        <f>'Formato 7 b)'!G30</f>
        <v>63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2" zoomScale="90" zoomScaleNormal="90" workbookViewId="0">
      <selection activeCell="A29" sqref="A29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0" customFormat="1" ht="37.5" customHeight="1" x14ac:dyDescent="0.45">
      <c r="A1" s="207" t="s">
        <v>466</v>
      </c>
      <c r="B1" s="207"/>
      <c r="C1" s="207"/>
      <c r="D1" s="207"/>
      <c r="E1" s="207"/>
      <c r="F1" s="207"/>
      <c r="G1" s="207"/>
    </row>
    <row r="2" spans="1:7" ht="14.25" x14ac:dyDescent="0.45">
      <c r="A2" s="189" t="str">
        <f>ENTIDAD</f>
        <v>Municipio de Tierra Blanca, Gobierno del Estado de Guanajuato</v>
      </c>
      <c r="B2" s="190"/>
      <c r="C2" s="190"/>
      <c r="D2" s="190"/>
      <c r="E2" s="190"/>
      <c r="F2" s="190"/>
      <c r="G2" s="191"/>
    </row>
    <row r="3" spans="1:7" ht="14.25" x14ac:dyDescent="0.45">
      <c r="A3" s="192" t="s">
        <v>467</v>
      </c>
      <c r="B3" s="193"/>
      <c r="C3" s="193"/>
      <c r="D3" s="193"/>
      <c r="E3" s="193"/>
      <c r="F3" s="193"/>
      <c r="G3" s="194"/>
    </row>
    <row r="4" spans="1:7" ht="14.25" x14ac:dyDescent="0.45">
      <c r="A4" s="198" t="s">
        <v>118</v>
      </c>
      <c r="B4" s="199"/>
      <c r="C4" s="199"/>
      <c r="D4" s="199"/>
      <c r="E4" s="199"/>
      <c r="F4" s="199"/>
      <c r="G4" s="200"/>
    </row>
    <row r="5" spans="1:7" x14ac:dyDescent="0.25">
      <c r="A5" s="224" t="s">
        <v>3288</v>
      </c>
      <c r="B5" s="222" t="str">
        <f>ANIO5R</f>
        <v>2017 ¹ (c)</v>
      </c>
      <c r="C5" s="222" t="str">
        <f>ANIO4R</f>
        <v>2018 ¹ (c)</v>
      </c>
      <c r="D5" s="222" t="str">
        <f>ANIO3R</f>
        <v>2019 ¹ (c)</v>
      </c>
      <c r="E5" s="222" t="str">
        <f>ANIO2R</f>
        <v>2020 ¹ (c)</v>
      </c>
      <c r="F5" s="222" t="str">
        <f>ANIO1R</f>
        <v>2021 ¹ (c)</v>
      </c>
      <c r="G5" s="51">
        <f>ANIO_INFORME</f>
        <v>2022</v>
      </c>
    </row>
    <row r="6" spans="1:7" ht="32.1" customHeight="1" x14ac:dyDescent="0.25">
      <c r="A6" s="225"/>
      <c r="B6" s="223"/>
      <c r="C6" s="223"/>
      <c r="D6" s="223"/>
      <c r="E6" s="223"/>
      <c r="F6" s="223"/>
      <c r="G6" s="87" t="s">
        <v>3294</v>
      </c>
    </row>
    <row r="7" spans="1:7" x14ac:dyDescent="0.25">
      <c r="A7" s="52" t="s">
        <v>468</v>
      </c>
      <c r="B7" s="59">
        <f>SUM(B8:B19)</f>
        <v>9</v>
      </c>
      <c r="C7" s="59">
        <f t="shared" ref="C7:G7" si="0">SUM(C8:C19)</f>
        <v>12</v>
      </c>
      <c r="D7" s="59">
        <f t="shared" si="0"/>
        <v>15</v>
      </c>
      <c r="E7" s="59">
        <f t="shared" si="0"/>
        <v>18</v>
      </c>
      <c r="F7" s="59">
        <f t="shared" si="0"/>
        <v>21</v>
      </c>
      <c r="G7" s="59">
        <f t="shared" si="0"/>
        <v>24</v>
      </c>
    </row>
    <row r="8" spans="1:7" x14ac:dyDescent="0.25">
      <c r="A8" s="53" t="s">
        <v>469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470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471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472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473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6" t="s">
        <v>474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475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476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477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x14ac:dyDescent="0.25">
      <c r="A17" s="53" t="s">
        <v>3298</v>
      </c>
      <c r="B17" s="60">
        <v>0.75</v>
      </c>
      <c r="C17" s="60">
        <v>1</v>
      </c>
      <c r="D17" s="60">
        <v>1.25</v>
      </c>
      <c r="E17" s="60">
        <v>1.5</v>
      </c>
      <c r="F17" s="60">
        <v>1.75</v>
      </c>
      <c r="G17" s="60">
        <v>2</v>
      </c>
    </row>
    <row r="18" spans="1:7" x14ac:dyDescent="0.25">
      <c r="A18" s="53" t="s">
        <v>478</v>
      </c>
      <c r="B18" s="60">
        <v>0.75</v>
      </c>
      <c r="C18" s="60">
        <v>1</v>
      </c>
      <c r="D18" s="60">
        <v>1.25</v>
      </c>
      <c r="E18" s="60">
        <v>1.5</v>
      </c>
      <c r="F18" s="60">
        <v>1.75</v>
      </c>
      <c r="G18" s="60">
        <v>2</v>
      </c>
    </row>
    <row r="19" spans="1:7" x14ac:dyDescent="0.25">
      <c r="A19" s="53" t="s">
        <v>479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3.75</v>
      </c>
      <c r="C21" s="61">
        <f t="shared" ref="C21:G21" si="1">SUM(C22:C26)</f>
        <v>5</v>
      </c>
      <c r="D21" s="61">
        <f t="shared" si="1"/>
        <v>6.25</v>
      </c>
      <c r="E21" s="61">
        <f t="shared" si="1"/>
        <v>7.5</v>
      </c>
      <c r="F21" s="61">
        <f t="shared" si="1"/>
        <v>8.75</v>
      </c>
      <c r="G21" s="61">
        <f t="shared" si="1"/>
        <v>10</v>
      </c>
    </row>
    <row r="22" spans="1:7" x14ac:dyDescent="0.25">
      <c r="A22" s="53" t="s">
        <v>480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481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482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483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484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0.75</v>
      </c>
      <c r="C28" s="61">
        <f t="shared" ref="C28:G28" si="2">C29</f>
        <v>1</v>
      </c>
      <c r="D28" s="61">
        <f t="shared" si="2"/>
        <v>1.25</v>
      </c>
      <c r="E28" s="61">
        <f t="shared" si="2"/>
        <v>1.5</v>
      </c>
      <c r="F28" s="61">
        <f t="shared" si="2"/>
        <v>1.75</v>
      </c>
      <c r="G28" s="61">
        <f t="shared" si="2"/>
        <v>2</v>
      </c>
    </row>
    <row r="29" spans="1:7" x14ac:dyDescent="0.25">
      <c r="A29" s="53" t="s">
        <v>269</v>
      </c>
      <c r="B29" s="60">
        <v>0.75</v>
      </c>
      <c r="C29" s="60">
        <v>1</v>
      </c>
      <c r="D29" s="60">
        <v>1.25</v>
      </c>
      <c r="E29" s="60">
        <v>1.5</v>
      </c>
      <c r="F29" s="60">
        <v>1.75</v>
      </c>
      <c r="G29" s="60">
        <v>2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13.5</v>
      </c>
      <c r="C31" s="61">
        <f t="shared" ref="C31:G31" si="3">C7+C21+C28</f>
        <v>18</v>
      </c>
      <c r="D31" s="61">
        <f t="shared" si="3"/>
        <v>22.5</v>
      </c>
      <c r="E31" s="61">
        <f t="shared" si="3"/>
        <v>27</v>
      </c>
      <c r="F31" s="61">
        <f t="shared" si="3"/>
        <v>31.5</v>
      </c>
      <c r="G31" s="61">
        <f t="shared" si="3"/>
        <v>36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0.75</v>
      </c>
      <c r="C34" s="60">
        <v>1</v>
      </c>
      <c r="D34" s="60">
        <v>1.25</v>
      </c>
      <c r="E34" s="60">
        <v>1.5</v>
      </c>
      <c r="F34" s="60">
        <v>1.75</v>
      </c>
      <c r="G34" s="60">
        <v>2</v>
      </c>
    </row>
    <row r="35" spans="1:7" ht="30" x14ac:dyDescent="0.25">
      <c r="A35" s="57" t="s">
        <v>488</v>
      </c>
      <c r="B35" s="60">
        <v>0.75</v>
      </c>
      <c r="C35" s="60">
        <v>1</v>
      </c>
      <c r="D35" s="60">
        <v>1.25</v>
      </c>
      <c r="E35" s="60">
        <v>1.5</v>
      </c>
      <c r="F35" s="60">
        <v>1.75</v>
      </c>
      <c r="G35" s="60">
        <v>2</v>
      </c>
    </row>
    <row r="36" spans="1:7" x14ac:dyDescent="0.25">
      <c r="A36" s="55" t="s">
        <v>489</v>
      </c>
      <c r="B36" s="61">
        <f>B34+B35</f>
        <v>1.5</v>
      </c>
      <c r="C36" s="61">
        <f t="shared" ref="C36:G36" si="4">C34+C35</f>
        <v>2</v>
      </c>
      <c r="D36" s="61">
        <f t="shared" si="4"/>
        <v>2.5</v>
      </c>
      <c r="E36" s="61">
        <f t="shared" si="4"/>
        <v>3</v>
      </c>
      <c r="F36" s="61">
        <f t="shared" si="4"/>
        <v>3.5</v>
      </c>
      <c r="G36" s="61">
        <f t="shared" si="4"/>
        <v>4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89"/>
    </row>
    <row r="39" spans="1:7" ht="15" customHeight="1" x14ac:dyDescent="0.25">
      <c r="A39" s="221" t="s">
        <v>3292</v>
      </c>
      <c r="B39" s="221"/>
      <c r="C39" s="221"/>
      <c r="D39" s="221"/>
      <c r="E39" s="221"/>
      <c r="F39" s="221"/>
      <c r="G39" s="221"/>
    </row>
    <row r="40" spans="1:7" ht="15" customHeight="1" x14ac:dyDescent="0.25">
      <c r="A40" s="221" t="s">
        <v>3293</v>
      </c>
      <c r="B40" s="221"/>
      <c r="C40" s="221"/>
      <c r="D40" s="221"/>
      <c r="E40" s="221"/>
      <c r="F40" s="221"/>
      <c r="G40" s="221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</v>
      </c>
      <c r="Q2" s="18">
        <f>'Formato 7 c)'!C7</f>
        <v>12</v>
      </c>
      <c r="R2" s="18">
        <f>'Formato 7 c)'!D7</f>
        <v>15</v>
      </c>
      <c r="S2" s="18">
        <f>'Formato 7 c)'!E7</f>
        <v>18</v>
      </c>
      <c r="T2" s="18">
        <f>'Formato 7 c)'!F7</f>
        <v>21</v>
      </c>
      <c r="U2" s="18">
        <f>'Formato 7 c)'!G7</f>
        <v>24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0.75</v>
      </c>
      <c r="Q3" s="18">
        <f>'Formato 7 c)'!C8</f>
        <v>1</v>
      </c>
      <c r="R3" s="18">
        <f>'Formato 7 c)'!D8</f>
        <v>1.25</v>
      </c>
      <c r="S3" s="18">
        <f>'Formato 7 c)'!E8</f>
        <v>1.5</v>
      </c>
      <c r="T3" s="18">
        <f>'Formato 7 c)'!F8</f>
        <v>1.75</v>
      </c>
      <c r="U3" s="18">
        <f>'Formato 7 c)'!G8</f>
        <v>2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0.75</v>
      </c>
      <c r="Q4" s="18">
        <f>'Formato 7 c)'!C9</f>
        <v>1</v>
      </c>
      <c r="R4" s="18">
        <f>'Formato 7 c)'!D9</f>
        <v>1.25</v>
      </c>
      <c r="S4" s="18">
        <f>'Formato 7 c)'!E9</f>
        <v>1.5</v>
      </c>
      <c r="T4" s="18">
        <f>'Formato 7 c)'!F9</f>
        <v>1.75</v>
      </c>
      <c r="U4" s="18">
        <f>'Formato 7 c)'!G9</f>
        <v>2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0.75</v>
      </c>
      <c r="Q5" s="18">
        <f>'Formato 7 c)'!C10</f>
        <v>1</v>
      </c>
      <c r="R5" s="18">
        <f>'Formato 7 c)'!D10</f>
        <v>1.25</v>
      </c>
      <c r="S5" s="18">
        <f>'Formato 7 c)'!E10</f>
        <v>1.5</v>
      </c>
      <c r="T5" s="18">
        <f>'Formato 7 c)'!F10</f>
        <v>1.75</v>
      </c>
      <c r="U5" s="18">
        <f>'Formato 7 c)'!G10</f>
        <v>2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0.75</v>
      </c>
      <c r="Q6" s="18">
        <f>'Formato 7 c)'!C11</f>
        <v>1</v>
      </c>
      <c r="R6" s="18">
        <f>'Formato 7 c)'!D11</f>
        <v>1.25</v>
      </c>
      <c r="S6" s="18">
        <f>'Formato 7 c)'!E11</f>
        <v>1.5</v>
      </c>
      <c r="T6" s="18">
        <f>'Formato 7 c)'!F11</f>
        <v>1.75</v>
      </c>
      <c r="U6" s="18">
        <f>'Formato 7 c)'!G11</f>
        <v>2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0.75</v>
      </c>
      <c r="Q7" s="18">
        <f>'Formato 7 c)'!C12</f>
        <v>1</v>
      </c>
      <c r="R7" s="18">
        <f>'Formato 7 c)'!D12</f>
        <v>1.25</v>
      </c>
      <c r="S7" s="18">
        <f>'Formato 7 c)'!E12</f>
        <v>1.5</v>
      </c>
      <c r="T7" s="18">
        <f>'Formato 7 c)'!F12</f>
        <v>1.75</v>
      </c>
      <c r="U7" s="18">
        <f>'Formato 7 c)'!G12</f>
        <v>2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0.75</v>
      </c>
      <c r="Q8" s="18">
        <f>'Formato 7 c)'!C13</f>
        <v>1</v>
      </c>
      <c r="R8" s="18">
        <f>'Formato 7 c)'!D13</f>
        <v>1.25</v>
      </c>
      <c r="S8" s="18">
        <f>'Formato 7 c)'!E13</f>
        <v>1.5</v>
      </c>
      <c r="T8" s="18">
        <f>'Formato 7 c)'!F13</f>
        <v>1.75</v>
      </c>
      <c r="U8" s="18">
        <f>'Formato 7 c)'!G13</f>
        <v>2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0.75</v>
      </c>
      <c r="Q9" s="18">
        <f>'Formato 7 c)'!C14</f>
        <v>1</v>
      </c>
      <c r="R9" s="18">
        <f>'Formato 7 c)'!D14</f>
        <v>1.25</v>
      </c>
      <c r="S9" s="18">
        <f>'Formato 7 c)'!E14</f>
        <v>1.5</v>
      </c>
      <c r="T9" s="18">
        <f>'Formato 7 c)'!F14</f>
        <v>1.75</v>
      </c>
      <c r="U9" s="18">
        <f>'Formato 7 c)'!G14</f>
        <v>2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0.75</v>
      </c>
      <c r="Q10" s="18">
        <f>'Formato 7 c)'!C15</f>
        <v>1</v>
      </c>
      <c r="R10" s="18">
        <f>'Formato 7 c)'!D15</f>
        <v>1.25</v>
      </c>
      <c r="S10" s="18">
        <f>'Formato 7 c)'!E15</f>
        <v>1.5</v>
      </c>
      <c r="T10" s="18">
        <f>'Formato 7 c)'!F15</f>
        <v>1.75</v>
      </c>
      <c r="U10" s="18">
        <f>'Formato 7 c)'!G15</f>
        <v>2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0.75</v>
      </c>
      <c r="Q11" s="18">
        <f>'Formato 7 c)'!C16</f>
        <v>1</v>
      </c>
      <c r="R11" s="18">
        <f>'Formato 7 c)'!D16</f>
        <v>1.25</v>
      </c>
      <c r="S11" s="18">
        <f>'Formato 7 c)'!E16</f>
        <v>1.5</v>
      </c>
      <c r="T11" s="18">
        <f>'Formato 7 c)'!F16</f>
        <v>1.75</v>
      </c>
      <c r="U11" s="18">
        <f>'Formato 7 c)'!G16</f>
        <v>2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0.75</v>
      </c>
      <c r="Q12" s="18">
        <f>'Formato 7 c)'!C17</f>
        <v>1</v>
      </c>
      <c r="R12" s="18">
        <f>'Formato 7 c)'!D17</f>
        <v>1.25</v>
      </c>
      <c r="S12" s="18">
        <f>'Formato 7 c)'!E17</f>
        <v>1.5</v>
      </c>
      <c r="T12" s="18">
        <f>'Formato 7 c)'!F17</f>
        <v>1.75</v>
      </c>
      <c r="U12" s="18">
        <f>'Formato 7 c)'!G17</f>
        <v>2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0.75</v>
      </c>
      <c r="Q13" s="18">
        <f>'Formato 7 c)'!C18</f>
        <v>1</v>
      </c>
      <c r="R13" s="18">
        <f>'Formato 7 c)'!D18</f>
        <v>1.25</v>
      </c>
      <c r="S13" s="18">
        <f>'Formato 7 c)'!E18</f>
        <v>1.5</v>
      </c>
      <c r="T13" s="18">
        <f>'Formato 7 c)'!F18</f>
        <v>1.75</v>
      </c>
      <c r="U13" s="18">
        <f>'Formato 7 c)'!G18</f>
        <v>2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0.75</v>
      </c>
      <c r="Q14" s="18">
        <f>'Formato 7 c)'!C19</f>
        <v>1</v>
      </c>
      <c r="R14" s="18">
        <f>'Formato 7 c)'!D19</f>
        <v>1.25</v>
      </c>
      <c r="S14" s="18">
        <f>'Formato 7 c)'!E19</f>
        <v>1.5</v>
      </c>
      <c r="T14" s="18">
        <f>'Formato 7 c)'!F19</f>
        <v>1.75</v>
      </c>
      <c r="U14" s="18">
        <f>'Formato 7 c)'!G19</f>
        <v>2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3.75</v>
      </c>
      <c r="Q15" s="18">
        <f>'Formato 7 c)'!C21</f>
        <v>5</v>
      </c>
      <c r="R15" s="18">
        <f>'Formato 7 c)'!D21</f>
        <v>6.25</v>
      </c>
      <c r="S15" s="18">
        <f>'Formato 7 c)'!E21</f>
        <v>7.5</v>
      </c>
      <c r="T15" s="18">
        <f>'Formato 7 c)'!F21</f>
        <v>8.75</v>
      </c>
      <c r="U15" s="18">
        <f>'Formato 7 c)'!G21</f>
        <v>10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0.75</v>
      </c>
      <c r="Q16" s="18">
        <f>'Formato 7 c)'!C22</f>
        <v>1</v>
      </c>
      <c r="R16" s="18">
        <f>'Formato 7 c)'!D22</f>
        <v>1.25</v>
      </c>
      <c r="S16" s="18">
        <f>'Formato 7 c)'!E22</f>
        <v>1.5</v>
      </c>
      <c r="T16" s="18">
        <f>'Formato 7 c)'!F22</f>
        <v>1.75</v>
      </c>
      <c r="U16" s="18">
        <f>'Formato 7 c)'!G22</f>
        <v>2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0.75</v>
      </c>
      <c r="Q17" s="18">
        <f>'Formato 7 c)'!C23</f>
        <v>1</v>
      </c>
      <c r="R17" s="18">
        <f>'Formato 7 c)'!D23</f>
        <v>1.25</v>
      </c>
      <c r="S17" s="18">
        <f>'Formato 7 c)'!E23</f>
        <v>1.5</v>
      </c>
      <c r="T17" s="18">
        <f>'Formato 7 c)'!F23</f>
        <v>1.75</v>
      </c>
      <c r="U17" s="18">
        <f>'Formato 7 c)'!G23</f>
        <v>2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0.75</v>
      </c>
      <c r="Q18" s="18">
        <f>'Formato 7 c)'!C24</f>
        <v>1</v>
      </c>
      <c r="R18" s="18">
        <f>'Formato 7 c)'!D24</f>
        <v>1.25</v>
      </c>
      <c r="S18" s="18">
        <f>'Formato 7 c)'!E24</f>
        <v>1.5</v>
      </c>
      <c r="T18" s="18">
        <f>'Formato 7 c)'!F24</f>
        <v>1.75</v>
      </c>
      <c r="U18" s="18">
        <f>'Formato 7 c)'!G24</f>
        <v>2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0.75</v>
      </c>
      <c r="Q19" s="18">
        <f>'Formato 7 c)'!C25</f>
        <v>1</v>
      </c>
      <c r="R19" s="18">
        <f>'Formato 7 c)'!D25</f>
        <v>1.25</v>
      </c>
      <c r="S19" s="18">
        <f>'Formato 7 c)'!E25</f>
        <v>1.5</v>
      </c>
      <c r="T19" s="18">
        <f>'Formato 7 c)'!F25</f>
        <v>1.75</v>
      </c>
      <c r="U19" s="18">
        <f>'Formato 7 c)'!G25</f>
        <v>2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0.75</v>
      </c>
      <c r="Q20" s="18">
        <f>'Formato 7 c)'!C26</f>
        <v>1</v>
      </c>
      <c r="R20" s="18">
        <f>'Formato 7 c)'!D26</f>
        <v>1.25</v>
      </c>
      <c r="S20" s="18">
        <f>'Formato 7 c)'!E26</f>
        <v>1.5</v>
      </c>
      <c r="T20" s="18">
        <f>'Formato 7 c)'!F26</f>
        <v>1.75</v>
      </c>
      <c r="U20" s="18">
        <f>'Formato 7 c)'!G26</f>
        <v>2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0.75</v>
      </c>
      <c r="Q21" s="18">
        <f>'Formato 7 c)'!C28</f>
        <v>1</v>
      </c>
      <c r="R21" s="18">
        <f>'Formato 7 c)'!D28</f>
        <v>1.25</v>
      </c>
      <c r="S21" s="18">
        <f>'Formato 7 c)'!E28</f>
        <v>1.5</v>
      </c>
      <c r="T21" s="18">
        <f>'Formato 7 c)'!F28</f>
        <v>1.75</v>
      </c>
      <c r="U21" s="18">
        <f>'Formato 7 c)'!G28</f>
        <v>2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0.75</v>
      </c>
      <c r="Q22" s="18">
        <f>'Formato 7 c)'!C29</f>
        <v>1</v>
      </c>
      <c r="R22" s="18">
        <f>'Formato 7 c)'!D29</f>
        <v>1.25</v>
      </c>
      <c r="S22" s="18">
        <f>'Formato 7 c)'!E29</f>
        <v>1.5</v>
      </c>
      <c r="T22" s="18">
        <f>'Formato 7 c)'!F29</f>
        <v>1.75</v>
      </c>
      <c r="U22" s="18">
        <f>'Formato 7 c)'!G29</f>
        <v>2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13.5</v>
      </c>
      <c r="Q23" s="18">
        <f>'Formato 7 c)'!C31</f>
        <v>18</v>
      </c>
      <c r="R23" s="18">
        <f>'Formato 7 c)'!D31</f>
        <v>22.5</v>
      </c>
      <c r="S23" s="18">
        <f>'Formato 7 c)'!E31</f>
        <v>27</v>
      </c>
      <c r="T23" s="18">
        <f>'Formato 7 c)'!F31</f>
        <v>31.5</v>
      </c>
      <c r="U23" s="18">
        <f>'Formato 7 c)'!G31</f>
        <v>36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0.75</v>
      </c>
      <c r="Q25" s="18">
        <f>'Formato 7 c)'!C34</f>
        <v>1</v>
      </c>
      <c r="R25" s="18">
        <f>'Formato 7 c)'!D34</f>
        <v>1.25</v>
      </c>
      <c r="S25" s="18">
        <f>'Formato 7 c)'!E34</f>
        <v>1.5</v>
      </c>
      <c r="T25" s="18">
        <f>'Formato 7 c)'!F34</f>
        <v>1.75</v>
      </c>
      <c r="U25" s="18">
        <f>'Formato 7 c)'!G34</f>
        <v>2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0.75</v>
      </c>
      <c r="Q26" s="18">
        <f>'Formato 7 c)'!C35</f>
        <v>1</v>
      </c>
      <c r="R26" s="18">
        <f>'Formato 7 c)'!D35</f>
        <v>1.25</v>
      </c>
      <c r="S26" s="18">
        <f>'Formato 7 c)'!E35</f>
        <v>1.5</v>
      </c>
      <c r="T26" s="18">
        <f>'Formato 7 c)'!F35</f>
        <v>1.75</v>
      </c>
      <c r="U26" s="18">
        <f>'Formato 7 c)'!G35</f>
        <v>2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1.5</v>
      </c>
      <c r="Q27" s="18">
        <f>'Formato 7 c)'!C36</f>
        <v>2</v>
      </c>
      <c r="R27" s="18">
        <f>'Formato 7 c)'!D36</f>
        <v>2.5</v>
      </c>
      <c r="S27" s="18">
        <f>'Formato 7 c)'!E36</f>
        <v>3</v>
      </c>
      <c r="T27" s="18">
        <f>'Formato 7 c)'!F36</f>
        <v>3.5</v>
      </c>
      <c r="U27" s="18">
        <f>'Formato 7 c)'!G36</f>
        <v>4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0" customFormat="1" ht="37.5" customHeight="1" x14ac:dyDescent="0.45">
      <c r="A1" s="207" t="s">
        <v>490</v>
      </c>
      <c r="B1" s="207"/>
      <c r="C1" s="207"/>
      <c r="D1" s="207"/>
      <c r="E1" s="207"/>
      <c r="F1" s="207"/>
      <c r="G1" s="207"/>
    </row>
    <row r="2" spans="1:7" ht="14.25" x14ac:dyDescent="0.45">
      <c r="A2" s="189" t="str">
        <f>ENTIDAD</f>
        <v>Municipio de Tierra Blanca, Gobierno del Estado de Guanajuato</v>
      </c>
      <c r="B2" s="190"/>
      <c r="C2" s="190"/>
      <c r="D2" s="190"/>
      <c r="E2" s="190"/>
      <c r="F2" s="190"/>
      <c r="G2" s="191"/>
    </row>
    <row r="3" spans="1:7" ht="14.25" x14ac:dyDescent="0.45">
      <c r="A3" s="192" t="s">
        <v>491</v>
      </c>
      <c r="B3" s="193"/>
      <c r="C3" s="193"/>
      <c r="D3" s="193"/>
      <c r="E3" s="193"/>
      <c r="F3" s="193"/>
      <c r="G3" s="194"/>
    </row>
    <row r="4" spans="1:7" ht="14.25" x14ac:dyDescent="0.45">
      <c r="A4" s="198" t="s">
        <v>118</v>
      </c>
      <c r="B4" s="199"/>
      <c r="C4" s="199"/>
      <c r="D4" s="199"/>
      <c r="E4" s="199"/>
      <c r="F4" s="199"/>
      <c r="G4" s="200"/>
    </row>
    <row r="5" spans="1:7" x14ac:dyDescent="0.25">
      <c r="A5" s="226" t="s">
        <v>3142</v>
      </c>
      <c r="B5" s="222" t="str">
        <f>ANIO5R</f>
        <v>2017 ¹ (c)</v>
      </c>
      <c r="C5" s="222" t="str">
        <f>ANIO4R</f>
        <v>2018 ¹ (c)</v>
      </c>
      <c r="D5" s="222" t="str">
        <f>ANIO3R</f>
        <v>2019 ¹ (c)</v>
      </c>
      <c r="E5" s="222" t="str">
        <f>ANIO2R</f>
        <v>2020 ¹ (c)</v>
      </c>
      <c r="F5" s="222" t="str">
        <f>ANIO1R</f>
        <v>2021 ¹ (c)</v>
      </c>
      <c r="G5" s="51">
        <f>ANIO_INFORME</f>
        <v>2022</v>
      </c>
    </row>
    <row r="6" spans="1:7" ht="32.1" customHeight="1" x14ac:dyDescent="0.25">
      <c r="A6" s="227"/>
      <c r="B6" s="223"/>
      <c r="C6" s="223"/>
      <c r="D6" s="223"/>
      <c r="E6" s="223"/>
      <c r="F6" s="223"/>
      <c r="G6" s="87" t="s">
        <v>3295</v>
      </c>
    </row>
    <row r="7" spans="1:7" ht="14.25" x14ac:dyDescent="0.45">
      <c r="A7" s="52" t="s">
        <v>492</v>
      </c>
      <c r="B7" s="59">
        <f>SUM(B8:B16)</f>
        <v>6.75</v>
      </c>
      <c r="C7" s="59">
        <f t="shared" ref="C7:G7" si="0">SUM(C8:C16)</f>
        <v>9</v>
      </c>
      <c r="D7" s="59">
        <f t="shared" si="0"/>
        <v>11.25</v>
      </c>
      <c r="E7" s="59">
        <f t="shared" si="0"/>
        <v>13.5</v>
      </c>
      <c r="F7" s="59">
        <f t="shared" si="0"/>
        <v>15.75</v>
      </c>
      <c r="G7" s="59">
        <f t="shared" si="0"/>
        <v>18</v>
      </c>
    </row>
    <row r="8" spans="1:7" x14ac:dyDescent="0.25">
      <c r="A8" s="53" t="s">
        <v>454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455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456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457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458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3" t="s">
        <v>459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460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461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462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ht="14.25" x14ac:dyDescent="0.4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493</v>
      </c>
      <c r="B18" s="61">
        <f>SUM(B19:B27)</f>
        <v>6.75</v>
      </c>
      <c r="C18" s="61">
        <f t="shared" ref="C18:G18" si="1">SUM(C19:C27)</f>
        <v>9</v>
      </c>
      <c r="D18" s="61">
        <f t="shared" si="1"/>
        <v>11.25</v>
      </c>
      <c r="E18" s="61">
        <f t="shared" si="1"/>
        <v>13.5</v>
      </c>
      <c r="F18" s="61">
        <f t="shared" si="1"/>
        <v>15.75</v>
      </c>
      <c r="G18" s="61">
        <f t="shared" si="1"/>
        <v>18</v>
      </c>
    </row>
    <row r="19" spans="1:7" x14ac:dyDescent="0.25">
      <c r="A19" s="53" t="s">
        <v>454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x14ac:dyDescent="0.25">
      <c r="A20" s="53" t="s">
        <v>455</v>
      </c>
      <c r="B20" s="60">
        <v>0.75</v>
      </c>
      <c r="C20" s="60">
        <v>1</v>
      </c>
      <c r="D20" s="60">
        <v>1.25</v>
      </c>
      <c r="E20" s="60">
        <v>1.5</v>
      </c>
      <c r="F20" s="60">
        <v>1.75</v>
      </c>
      <c r="G20" s="60">
        <v>2</v>
      </c>
    </row>
    <row r="21" spans="1:7" x14ac:dyDescent="0.25">
      <c r="A21" s="53" t="s">
        <v>456</v>
      </c>
      <c r="B21" s="60">
        <v>0.75</v>
      </c>
      <c r="C21" s="60">
        <v>1</v>
      </c>
      <c r="D21" s="60">
        <v>1.25</v>
      </c>
      <c r="E21" s="60">
        <v>1.5</v>
      </c>
      <c r="F21" s="60">
        <v>1.75</v>
      </c>
      <c r="G21" s="60">
        <v>2</v>
      </c>
    </row>
    <row r="22" spans="1:7" x14ac:dyDescent="0.25">
      <c r="A22" s="53" t="s">
        <v>457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458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459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460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464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3" t="s">
        <v>462</v>
      </c>
      <c r="B27" s="60">
        <v>0.75</v>
      </c>
      <c r="C27" s="60">
        <v>1</v>
      </c>
      <c r="D27" s="60">
        <v>1.25</v>
      </c>
      <c r="E27" s="60">
        <v>1.5</v>
      </c>
      <c r="F27" s="60">
        <v>1.75</v>
      </c>
      <c r="G27" s="60">
        <v>2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13.5</v>
      </c>
      <c r="C29" s="60">
        <f t="shared" ref="C29:G29" si="2">C7+C18</f>
        <v>18</v>
      </c>
      <c r="D29" s="60">
        <f t="shared" si="2"/>
        <v>22.5</v>
      </c>
      <c r="E29" s="60">
        <f t="shared" si="2"/>
        <v>27</v>
      </c>
      <c r="F29" s="60">
        <f t="shared" si="2"/>
        <v>31.5</v>
      </c>
      <c r="G29" s="60">
        <f t="shared" si="2"/>
        <v>36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89"/>
    </row>
    <row r="32" spans="1:7" x14ac:dyDescent="0.25">
      <c r="A32" s="221" t="s">
        <v>3292</v>
      </c>
      <c r="B32" s="221"/>
      <c r="C32" s="221"/>
      <c r="D32" s="221"/>
      <c r="E32" s="221"/>
      <c r="F32" s="221"/>
      <c r="G32" s="221"/>
    </row>
    <row r="33" spans="1:7" x14ac:dyDescent="0.25">
      <c r="A33" s="221" t="s">
        <v>3293</v>
      </c>
      <c r="B33" s="221"/>
      <c r="C33" s="221"/>
      <c r="D33" s="221"/>
      <c r="E33" s="221"/>
      <c r="F33" s="221"/>
      <c r="G33" s="221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6.75</v>
      </c>
      <c r="Q2" s="18">
        <f>'Formato 7 d)'!C7</f>
        <v>9</v>
      </c>
      <c r="R2" s="18">
        <f>'Formato 7 d)'!D7</f>
        <v>11.25</v>
      </c>
      <c r="S2" s="18">
        <f>'Formato 7 d)'!E7</f>
        <v>13.5</v>
      </c>
      <c r="T2" s="18">
        <f>'Formato 7 d)'!F7</f>
        <v>15.75</v>
      </c>
      <c r="U2" s="18">
        <f>'Formato 7 d)'!G7</f>
        <v>18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0.75</v>
      </c>
      <c r="Q3" s="18">
        <f>'Formato 7 d)'!C8</f>
        <v>1</v>
      </c>
      <c r="R3" s="18">
        <f>'Formato 7 d)'!D8</f>
        <v>1.25</v>
      </c>
      <c r="S3" s="18">
        <f>'Formato 7 d)'!E8</f>
        <v>1.5</v>
      </c>
      <c r="T3" s="18">
        <f>'Formato 7 d)'!F8</f>
        <v>1.75</v>
      </c>
      <c r="U3" s="18">
        <f>'Formato 7 d)'!G8</f>
        <v>2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0.75</v>
      </c>
      <c r="Q4" s="18">
        <f>'Formato 7 d)'!C9</f>
        <v>1</v>
      </c>
      <c r="R4" s="18">
        <f>'Formato 7 d)'!D9</f>
        <v>1.25</v>
      </c>
      <c r="S4" s="18">
        <f>'Formato 7 d)'!E9</f>
        <v>1.5</v>
      </c>
      <c r="T4" s="18">
        <f>'Formato 7 d)'!F9</f>
        <v>1.75</v>
      </c>
      <c r="U4" s="18">
        <f>'Formato 7 d)'!G9</f>
        <v>2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0.75</v>
      </c>
      <c r="Q5" s="18">
        <f>'Formato 7 d)'!C10</f>
        <v>1</v>
      </c>
      <c r="R5" s="18">
        <f>'Formato 7 d)'!D10</f>
        <v>1.25</v>
      </c>
      <c r="S5" s="18">
        <f>'Formato 7 d)'!E10</f>
        <v>1.5</v>
      </c>
      <c r="T5" s="18">
        <f>'Formato 7 d)'!F10</f>
        <v>1.75</v>
      </c>
      <c r="U5" s="18">
        <f>'Formato 7 d)'!G10</f>
        <v>2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0.75</v>
      </c>
      <c r="Q6" s="18">
        <f>'Formato 7 d)'!C11</f>
        <v>1</v>
      </c>
      <c r="R6" s="18">
        <f>'Formato 7 d)'!D11</f>
        <v>1.25</v>
      </c>
      <c r="S6" s="18">
        <f>'Formato 7 d)'!E11</f>
        <v>1.5</v>
      </c>
      <c r="T6" s="18">
        <f>'Formato 7 d)'!F11</f>
        <v>1.75</v>
      </c>
      <c r="U6" s="18">
        <f>'Formato 7 d)'!G11</f>
        <v>2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0.75</v>
      </c>
      <c r="Q7" s="18">
        <f>'Formato 7 d)'!C12</f>
        <v>1</v>
      </c>
      <c r="R7" s="18">
        <f>'Formato 7 d)'!D12</f>
        <v>1.25</v>
      </c>
      <c r="S7" s="18">
        <f>'Formato 7 d)'!E12</f>
        <v>1.5</v>
      </c>
      <c r="T7" s="18">
        <f>'Formato 7 d)'!F12</f>
        <v>1.75</v>
      </c>
      <c r="U7" s="18">
        <f>'Formato 7 d)'!G12</f>
        <v>2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0.75</v>
      </c>
      <c r="Q8" s="18">
        <f>'Formato 7 d)'!C13</f>
        <v>1</v>
      </c>
      <c r="R8" s="18">
        <f>'Formato 7 d)'!D13</f>
        <v>1.25</v>
      </c>
      <c r="S8" s="18">
        <f>'Formato 7 d)'!E13</f>
        <v>1.5</v>
      </c>
      <c r="T8" s="18">
        <f>'Formato 7 d)'!F13</f>
        <v>1.75</v>
      </c>
      <c r="U8" s="18">
        <f>'Formato 7 d)'!G13</f>
        <v>2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0.75</v>
      </c>
      <c r="Q9" s="18">
        <f>'Formato 7 d)'!C14</f>
        <v>1</v>
      </c>
      <c r="R9" s="18">
        <f>'Formato 7 d)'!D14</f>
        <v>1.25</v>
      </c>
      <c r="S9" s="18">
        <f>'Formato 7 d)'!E14</f>
        <v>1.5</v>
      </c>
      <c r="T9" s="18">
        <f>'Formato 7 d)'!F14</f>
        <v>1.75</v>
      </c>
      <c r="U9" s="18">
        <f>'Formato 7 d)'!G14</f>
        <v>2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0.75</v>
      </c>
      <c r="Q10" s="18">
        <f>'Formato 7 d)'!C15</f>
        <v>1</v>
      </c>
      <c r="R10" s="18">
        <f>'Formato 7 d)'!D15</f>
        <v>1.25</v>
      </c>
      <c r="S10" s="18">
        <f>'Formato 7 d)'!E15</f>
        <v>1.5</v>
      </c>
      <c r="T10" s="18">
        <f>'Formato 7 d)'!F15</f>
        <v>1.75</v>
      </c>
      <c r="U10" s="18">
        <f>'Formato 7 d)'!G15</f>
        <v>2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0.75</v>
      </c>
      <c r="Q11" s="18">
        <f>'Formato 7 d)'!C16</f>
        <v>1</v>
      </c>
      <c r="R11" s="18">
        <f>'Formato 7 d)'!D16</f>
        <v>1.25</v>
      </c>
      <c r="S11" s="18">
        <f>'Formato 7 d)'!E16</f>
        <v>1.5</v>
      </c>
      <c r="T11" s="18">
        <f>'Formato 7 d)'!F16</f>
        <v>1.75</v>
      </c>
      <c r="U11" s="18">
        <f>'Formato 7 d)'!G16</f>
        <v>2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6.75</v>
      </c>
      <c r="Q12" s="18">
        <f>'Formato 7 d)'!C18</f>
        <v>9</v>
      </c>
      <c r="R12" s="18">
        <f>'Formato 7 d)'!D18</f>
        <v>11.25</v>
      </c>
      <c r="S12" s="18">
        <f>'Formato 7 d)'!E18</f>
        <v>13.5</v>
      </c>
      <c r="T12" s="18">
        <f>'Formato 7 d)'!F18</f>
        <v>15.75</v>
      </c>
      <c r="U12" s="18">
        <f>'Formato 7 d)'!G18</f>
        <v>18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0.75</v>
      </c>
      <c r="Q13" s="18">
        <f>'Formato 7 d)'!C19</f>
        <v>1</v>
      </c>
      <c r="R13" s="18">
        <f>'Formato 7 d)'!D19</f>
        <v>1.25</v>
      </c>
      <c r="S13" s="18">
        <f>'Formato 7 d)'!E19</f>
        <v>1.5</v>
      </c>
      <c r="T13" s="18">
        <f>'Formato 7 d)'!F19</f>
        <v>1.75</v>
      </c>
      <c r="U13" s="18">
        <f>'Formato 7 d)'!G19</f>
        <v>2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0.75</v>
      </c>
      <c r="Q14" s="18">
        <f>'Formato 7 d)'!C20</f>
        <v>1</v>
      </c>
      <c r="R14" s="18">
        <f>'Formato 7 d)'!D20</f>
        <v>1.25</v>
      </c>
      <c r="S14" s="18">
        <f>'Formato 7 d)'!E20</f>
        <v>1.5</v>
      </c>
      <c r="T14" s="18">
        <f>'Formato 7 d)'!F20</f>
        <v>1.75</v>
      </c>
      <c r="U14" s="18">
        <f>'Formato 7 d)'!G20</f>
        <v>2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0.75</v>
      </c>
      <c r="Q15" s="18">
        <f>'Formato 7 d)'!C21</f>
        <v>1</v>
      </c>
      <c r="R15" s="18">
        <f>'Formato 7 d)'!D21</f>
        <v>1.25</v>
      </c>
      <c r="S15" s="18">
        <f>'Formato 7 d)'!E21</f>
        <v>1.5</v>
      </c>
      <c r="T15" s="18">
        <f>'Formato 7 d)'!F21</f>
        <v>1.75</v>
      </c>
      <c r="U15" s="18">
        <f>'Formato 7 d)'!G21</f>
        <v>2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0.75</v>
      </c>
      <c r="Q16" s="18">
        <f>'Formato 7 d)'!C22</f>
        <v>1</v>
      </c>
      <c r="R16" s="18">
        <f>'Formato 7 d)'!D22</f>
        <v>1.25</v>
      </c>
      <c r="S16" s="18">
        <f>'Formato 7 d)'!E22</f>
        <v>1.5</v>
      </c>
      <c r="T16" s="18">
        <f>'Formato 7 d)'!F22</f>
        <v>1.75</v>
      </c>
      <c r="U16" s="18">
        <f>'Formato 7 d)'!G22</f>
        <v>2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0.75</v>
      </c>
      <c r="Q17" s="18">
        <f>'Formato 7 d)'!C23</f>
        <v>1</v>
      </c>
      <c r="R17" s="18">
        <f>'Formato 7 d)'!D23</f>
        <v>1.25</v>
      </c>
      <c r="S17" s="18">
        <f>'Formato 7 d)'!E23</f>
        <v>1.5</v>
      </c>
      <c r="T17" s="18">
        <f>'Formato 7 d)'!F23</f>
        <v>1.75</v>
      </c>
      <c r="U17" s="18">
        <f>'Formato 7 d)'!G23</f>
        <v>2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0.75</v>
      </c>
      <c r="Q18" s="18">
        <f>'Formato 7 d)'!C24</f>
        <v>1</v>
      </c>
      <c r="R18" s="18">
        <f>'Formato 7 d)'!D24</f>
        <v>1.25</v>
      </c>
      <c r="S18" s="18">
        <f>'Formato 7 d)'!E24</f>
        <v>1.5</v>
      </c>
      <c r="T18" s="18">
        <f>'Formato 7 d)'!F24</f>
        <v>1.75</v>
      </c>
      <c r="U18" s="18">
        <f>'Formato 7 d)'!G24</f>
        <v>2</v>
      </c>
    </row>
    <row r="19" spans="1:21" x14ac:dyDescent="0.2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0.75</v>
      </c>
      <c r="Q19" s="18">
        <f>'Formato 7 d)'!C25</f>
        <v>1</v>
      </c>
      <c r="R19" s="18">
        <f>'Formato 7 d)'!D25</f>
        <v>1.25</v>
      </c>
      <c r="S19" s="18">
        <f>'Formato 7 d)'!E25</f>
        <v>1.5</v>
      </c>
      <c r="T19" s="18">
        <f>'Formato 7 d)'!F25</f>
        <v>1.75</v>
      </c>
      <c r="U19" s="18">
        <f>'Formato 7 d)'!G25</f>
        <v>2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0.75</v>
      </c>
      <c r="Q20" s="18">
        <f>'Formato 7 d)'!C26</f>
        <v>1</v>
      </c>
      <c r="R20" s="18">
        <f>'Formato 7 d)'!D26</f>
        <v>1.25</v>
      </c>
      <c r="S20" s="18">
        <f>'Formato 7 d)'!E26</f>
        <v>1.5</v>
      </c>
      <c r="T20" s="18">
        <f>'Formato 7 d)'!F26</f>
        <v>1.75</v>
      </c>
      <c r="U20" s="18">
        <f>'Formato 7 d)'!G26</f>
        <v>2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0.75</v>
      </c>
      <c r="Q21" s="18">
        <f>'Formato 7 d)'!C27</f>
        <v>1</v>
      </c>
      <c r="R21" s="18">
        <f>'Formato 7 d)'!D27</f>
        <v>1.25</v>
      </c>
      <c r="S21" s="18">
        <f>'Formato 7 d)'!E27</f>
        <v>1.5</v>
      </c>
      <c r="T21" s="18">
        <f>'Formato 7 d)'!F27</f>
        <v>1.75</v>
      </c>
      <c r="U21" s="18">
        <f>'Formato 7 d)'!G27</f>
        <v>2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13.5</v>
      </c>
      <c r="Q22" s="18">
        <f>'Formato 7 d)'!C29</f>
        <v>18</v>
      </c>
      <c r="R22" s="18">
        <f>'Formato 7 d)'!D29</f>
        <v>22.5</v>
      </c>
      <c r="S22" s="18">
        <f>'Formato 7 d)'!E29</f>
        <v>27</v>
      </c>
      <c r="T22" s="18">
        <f>'Formato 7 d)'!F29</f>
        <v>31.5</v>
      </c>
      <c r="U22" s="18">
        <f>'Formato 7 d)'!G29</f>
        <v>36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tabSelected="1" topLeftCell="A5" zoomScale="90" zoomScaleNormal="90" workbookViewId="0">
      <selection activeCell="E18" sqref="E18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0" customFormat="1" ht="34.5" customHeight="1" x14ac:dyDescent="0.25">
      <c r="A1" s="201" t="s">
        <v>495</v>
      </c>
      <c r="B1" s="201"/>
      <c r="C1" s="201"/>
      <c r="D1" s="201"/>
      <c r="E1" s="201"/>
      <c r="F1" s="201"/>
      <c r="G1" s="110"/>
    </row>
    <row r="2" spans="1:7" ht="14.25" x14ac:dyDescent="0.45">
      <c r="A2" s="189" t="str">
        <f>ENTE_PUBLICO</f>
        <v>Municipio de Tierra Blanca Guanajuato, Gobierno del Estado de Guanajuato</v>
      </c>
      <c r="B2" s="190"/>
      <c r="C2" s="190"/>
      <c r="D2" s="190"/>
      <c r="E2" s="190"/>
      <c r="F2" s="191"/>
    </row>
    <row r="3" spans="1:7" ht="14.25" x14ac:dyDescent="0.45">
      <c r="A3" s="198" t="s">
        <v>496</v>
      </c>
      <c r="B3" s="199"/>
      <c r="C3" s="199"/>
      <c r="D3" s="199"/>
      <c r="E3" s="199"/>
      <c r="F3" s="200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2" t="s">
        <v>502</v>
      </c>
      <c r="B5" s="5"/>
      <c r="C5" s="5"/>
      <c r="D5" s="5"/>
      <c r="E5" s="5"/>
      <c r="F5" s="5"/>
    </row>
    <row r="6" spans="1:7" ht="30" x14ac:dyDescent="0.25">
      <c r="A6" s="133" t="s">
        <v>503</v>
      </c>
      <c r="B6" s="60"/>
      <c r="C6" s="60"/>
      <c r="D6" s="60"/>
      <c r="E6" s="60"/>
      <c r="F6" s="60"/>
    </row>
    <row r="7" spans="1:7" x14ac:dyDescent="0.25">
      <c r="A7" s="133" t="s">
        <v>504</v>
      </c>
      <c r="B7" s="60"/>
      <c r="C7" s="60"/>
      <c r="D7" s="60"/>
      <c r="E7" s="60"/>
      <c r="F7" s="60"/>
    </row>
    <row r="8" spans="1:7" ht="14.25" x14ac:dyDescent="0.45">
      <c r="A8" s="134"/>
      <c r="B8" s="54"/>
      <c r="C8" s="54"/>
      <c r="D8" s="54"/>
      <c r="E8" s="54"/>
      <c r="F8" s="54"/>
    </row>
    <row r="9" spans="1:7" x14ac:dyDescent="0.25">
      <c r="A9" s="132" t="s">
        <v>505</v>
      </c>
      <c r="B9" s="54"/>
      <c r="C9" s="54"/>
      <c r="D9" s="54"/>
      <c r="E9" s="54"/>
      <c r="F9" s="54"/>
    </row>
    <row r="10" spans="1:7" ht="14.25" x14ac:dyDescent="0.45">
      <c r="A10" s="133" t="s">
        <v>506</v>
      </c>
      <c r="B10" s="60"/>
      <c r="C10" s="60"/>
      <c r="D10" s="60"/>
      <c r="E10" s="60"/>
      <c r="F10" s="60"/>
    </row>
    <row r="11" spans="1:7" x14ac:dyDescent="0.25">
      <c r="A11" s="135" t="s">
        <v>507</v>
      </c>
      <c r="B11" s="60"/>
      <c r="C11" s="60"/>
      <c r="D11" s="60"/>
      <c r="E11" s="60"/>
      <c r="F11" s="60"/>
    </row>
    <row r="12" spans="1:7" x14ac:dyDescent="0.25">
      <c r="A12" s="135" t="s">
        <v>508</v>
      </c>
      <c r="B12" s="60"/>
      <c r="C12" s="60"/>
      <c r="D12" s="60"/>
      <c r="E12" s="60"/>
      <c r="F12" s="60"/>
    </row>
    <row r="13" spans="1:7" ht="14.25" x14ac:dyDescent="0.45">
      <c r="A13" s="135" t="s">
        <v>509</v>
      </c>
      <c r="B13" s="60"/>
      <c r="C13" s="60"/>
      <c r="D13" s="60"/>
      <c r="E13" s="60"/>
      <c r="F13" s="60"/>
    </row>
    <row r="14" spans="1:7" ht="14.25" x14ac:dyDescent="0.45">
      <c r="A14" s="133" t="s">
        <v>510</v>
      </c>
      <c r="B14" s="60"/>
      <c r="C14" s="60"/>
      <c r="D14" s="60"/>
      <c r="E14" s="60"/>
      <c r="F14" s="60"/>
    </row>
    <row r="15" spans="1:7" x14ac:dyDescent="0.25">
      <c r="A15" s="135" t="s">
        <v>507</v>
      </c>
      <c r="B15" s="60"/>
      <c r="C15" s="60"/>
      <c r="D15" s="60"/>
      <c r="E15" s="60"/>
      <c r="F15" s="60"/>
    </row>
    <row r="16" spans="1:7" x14ac:dyDescent="0.25">
      <c r="A16" s="135" t="s">
        <v>508</v>
      </c>
      <c r="B16" s="60"/>
      <c r="C16" s="60"/>
      <c r="D16" s="60"/>
      <c r="E16" s="60"/>
      <c r="F16" s="60"/>
    </row>
    <row r="17" spans="1:6" ht="14.25" x14ac:dyDescent="0.45">
      <c r="A17" s="135" t="s">
        <v>509</v>
      </c>
      <c r="B17" s="60"/>
      <c r="C17" s="60"/>
      <c r="D17" s="60"/>
      <c r="E17" s="60"/>
      <c r="F17" s="60"/>
    </row>
    <row r="18" spans="1:6" ht="14.25" x14ac:dyDescent="0.45">
      <c r="A18" s="133" t="s">
        <v>511</v>
      </c>
      <c r="B18" s="141"/>
      <c r="C18" s="60"/>
      <c r="D18" s="60"/>
      <c r="E18" s="60"/>
      <c r="F18" s="60"/>
    </row>
    <row r="19" spans="1:6" x14ac:dyDescent="0.25">
      <c r="A19" s="133" t="s">
        <v>512</v>
      </c>
      <c r="B19" s="60"/>
      <c r="C19" s="60"/>
      <c r="D19" s="60"/>
      <c r="E19" s="60"/>
      <c r="F19" s="60"/>
    </row>
    <row r="20" spans="1:6" x14ac:dyDescent="0.25">
      <c r="A20" s="133" t="s">
        <v>513</v>
      </c>
      <c r="B20" s="142"/>
      <c r="C20" s="142"/>
      <c r="D20" s="142"/>
      <c r="E20" s="142"/>
      <c r="F20" s="142"/>
    </row>
    <row r="21" spans="1:6" x14ac:dyDescent="0.25">
      <c r="A21" s="133" t="s">
        <v>514</v>
      </c>
      <c r="B21" s="142"/>
      <c r="C21" s="142"/>
      <c r="D21" s="142"/>
      <c r="E21" s="142"/>
      <c r="F21" s="142"/>
    </row>
    <row r="22" spans="1:6" ht="14.25" x14ac:dyDescent="0.45">
      <c r="A22" s="64" t="s">
        <v>515</v>
      </c>
      <c r="B22" s="142"/>
      <c r="C22" s="142"/>
      <c r="D22" s="142"/>
      <c r="E22" s="142"/>
      <c r="F22" s="142"/>
    </row>
    <row r="23" spans="1:6" ht="14.25" x14ac:dyDescent="0.45">
      <c r="A23" s="64" t="s">
        <v>516</v>
      </c>
      <c r="B23" s="142"/>
      <c r="C23" s="142"/>
      <c r="D23" s="142"/>
      <c r="E23" s="142"/>
      <c r="F23" s="142"/>
    </row>
    <row r="24" spans="1:6" x14ac:dyDescent="0.25">
      <c r="A24" s="64" t="s">
        <v>517</v>
      </c>
      <c r="B24" s="143"/>
      <c r="C24" s="60"/>
      <c r="D24" s="60"/>
      <c r="E24" s="60"/>
      <c r="F24" s="60"/>
    </row>
    <row r="25" spans="1:6" x14ac:dyDescent="0.25">
      <c r="A25" s="133" t="s">
        <v>518</v>
      </c>
      <c r="B25" s="143"/>
      <c r="C25" s="60"/>
      <c r="D25" s="60"/>
      <c r="E25" s="60"/>
      <c r="F25" s="60"/>
    </row>
    <row r="26" spans="1:6" x14ac:dyDescent="0.25">
      <c r="A26" s="134"/>
      <c r="B26" s="54"/>
      <c r="C26" s="54"/>
      <c r="D26" s="54"/>
      <c r="E26" s="54"/>
      <c r="F26" s="54"/>
    </row>
    <row r="27" spans="1:6" x14ac:dyDescent="0.25">
      <c r="A27" s="132" t="s">
        <v>519</v>
      </c>
      <c r="B27" s="54"/>
      <c r="C27" s="54"/>
      <c r="D27" s="54"/>
      <c r="E27" s="54"/>
      <c r="F27" s="54"/>
    </row>
    <row r="28" spans="1:6" x14ac:dyDescent="0.25">
      <c r="A28" s="133" t="s">
        <v>520</v>
      </c>
      <c r="B28" s="60"/>
      <c r="C28" s="60"/>
      <c r="D28" s="60"/>
      <c r="E28" s="60"/>
      <c r="F28" s="60"/>
    </row>
    <row r="29" spans="1:6" x14ac:dyDescent="0.25">
      <c r="A29" s="134"/>
      <c r="B29" s="54"/>
      <c r="C29" s="54"/>
      <c r="D29" s="54"/>
      <c r="E29" s="54"/>
      <c r="F29" s="54"/>
    </row>
    <row r="30" spans="1:6" x14ac:dyDescent="0.25">
      <c r="A30" s="132" t="s">
        <v>521</v>
      </c>
      <c r="B30" s="54"/>
      <c r="C30" s="54"/>
      <c r="D30" s="54"/>
      <c r="E30" s="54"/>
      <c r="F30" s="54"/>
    </row>
    <row r="31" spans="1:6" x14ac:dyDescent="0.25">
      <c r="A31" s="133" t="s">
        <v>506</v>
      </c>
      <c r="B31" s="60"/>
      <c r="C31" s="60"/>
      <c r="D31" s="60"/>
      <c r="E31" s="60"/>
      <c r="F31" s="60"/>
    </row>
    <row r="32" spans="1:6" x14ac:dyDescent="0.25">
      <c r="A32" s="133" t="s">
        <v>510</v>
      </c>
      <c r="B32" s="60"/>
      <c r="C32" s="60"/>
      <c r="D32" s="60"/>
      <c r="E32" s="60"/>
      <c r="F32" s="60"/>
    </row>
    <row r="33" spans="1:6" x14ac:dyDescent="0.25">
      <c r="A33" s="133" t="s">
        <v>522</v>
      </c>
      <c r="B33" s="60"/>
      <c r="C33" s="60"/>
      <c r="D33" s="60"/>
      <c r="E33" s="60"/>
      <c r="F33" s="60"/>
    </row>
    <row r="34" spans="1:6" x14ac:dyDescent="0.25">
      <c r="A34" s="134"/>
      <c r="B34" s="54"/>
      <c r="C34" s="54"/>
      <c r="D34" s="54"/>
      <c r="E34" s="54"/>
      <c r="F34" s="54"/>
    </row>
    <row r="35" spans="1:6" x14ac:dyDescent="0.25">
      <c r="A35" s="132" t="s">
        <v>523</v>
      </c>
      <c r="B35" s="54"/>
      <c r="C35" s="54"/>
      <c r="D35" s="54"/>
      <c r="E35" s="54"/>
      <c r="F35" s="54"/>
    </row>
    <row r="36" spans="1:6" x14ac:dyDescent="0.25">
      <c r="A36" s="133" t="s">
        <v>524</v>
      </c>
      <c r="B36" s="60"/>
      <c r="C36" s="60"/>
      <c r="D36" s="60"/>
      <c r="E36" s="60"/>
      <c r="F36" s="60"/>
    </row>
    <row r="37" spans="1:6" x14ac:dyDescent="0.25">
      <c r="A37" s="133" t="s">
        <v>525</v>
      </c>
      <c r="B37" s="60"/>
      <c r="C37" s="60"/>
      <c r="D37" s="60"/>
      <c r="E37" s="60"/>
      <c r="F37" s="60"/>
    </row>
    <row r="38" spans="1:6" x14ac:dyDescent="0.25">
      <c r="A38" s="133" t="s">
        <v>526</v>
      </c>
      <c r="B38" s="143"/>
      <c r="C38" s="60"/>
      <c r="D38" s="60"/>
      <c r="E38" s="60"/>
      <c r="F38" s="60"/>
    </row>
    <row r="39" spans="1:6" x14ac:dyDescent="0.25">
      <c r="A39" s="134"/>
      <c r="B39" s="54"/>
      <c r="C39" s="54"/>
      <c r="D39" s="54"/>
      <c r="E39" s="54"/>
      <c r="F39" s="54"/>
    </row>
    <row r="40" spans="1:6" x14ac:dyDescent="0.25">
      <c r="A40" s="132" t="s">
        <v>527</v>
      </c>
      <c r="B40" s="60"/>
      <c r="C40" s="60"/>
      <c r="D40" s="60"/>
      <c r="E40" s="60"/>
      <c r="F40" s="60"/>
    </row>
    <row r="41" spans="1:6" x14ac:dyDescent="0.25">
      <c r="A41" s="134"/>
      <c r="B41" s="54"/>
      <c r="C41" s="54"/>
      <c r="D41" s="54"/>
      <c r="E41" s="54"/>
      <c r="F41" s="54"/>
    </row>
    <row r="42" spans="1:6" x14ac:dyDescent="0.25">
      <c r="A42" s="132" t="s">
        <v>528</v>
      </c>
      <c r="B42" s="54"/>
      <c r="C42" s="54"/>
      <c r="D42" s="54"/>
      <c r="E42" s="54"/>
      <c r="F42" s="54"/>
    </row>
    <row r="43" spans="1:6" x14ac:dyDescent="0.25">
      <c r="A43" s="133" t="s">
        <v>529</v>
      </c>
      <c r="B43" s="60"/>
      <c r="C43" s="60"/>
      <c r="D43" s="60"/>
      <c r="E43" s="60"/>
      <c r="F43" s="60"/>
    </row>
    <row r="44" spans="1:6" x14ac:dyDescent="0.25">
      <c r="A44" s="133" t="s">
        <v>530</v>
      </c>
      <c r="B44" s="60"/>
      <c r="C44" s="60"/>
      <c r="D44" s="60"/>
      <c r="E44" s="60"/>
      <c r="F44" s="60"/>
    </row>
    <row r="45" spans="1:6" x14ac:dyDescent="0.25">
      <c r="A45" s="133" t="s">
        <v>531</v>
      </c>
      <c r="B45" s="60"/>
      <c r="C45" s="60"/>
      <c r="D45" s="60"/>
      <c r="E45" s="60"/>
      <c r="F45" s="60"/>
    </row>
    <row r="46" spans="1:6" x14ac:dyDescent="0.25">
      <c r="A46" s="134"/>
      <c r="B46" s="54"/>
      <c r="C46" s="54"/>
      <c r="D46" s="54"/>
      <c r="E46" s="54"/>
      <c r="F46" s="54"/>
    </row>
    <row r="47" spans="1:6" ht="30" x14ac:dyDescent="0.25">
      <c r="A47" s="132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2"/>
      <c r="C48" s="142"/>
      <c r="D48" s="142"/>
      <c r="E48" s="142"/>
      <c r="F48" s="142"/>
    </row>
    <row r="49" spans="1:6" x14ac:dyDescent="0.25">
      <c r="A49" s="64" t="s">
        <v>531</v>
      </c>
      <c r="B49" s="142"/>
      <c r="C49" s="142"/>
      <c r="D49" s="142"/>
      <c r="E49" s="142"/>
      <c r="F49" s="142"/>
    </row>
    <row r="50" spans="1:6" x14ac:dyDescent="0.25">
      <c r="A50" s="134"/>
      <c r="B50" s="54"/>
      <c r="C50" s="54"/>
      <c r="D50" s="54"/>
      <c r="E50" s="54"/>
      <c r="F50" s="54"/>
    </row>
    <row r="51" spans="1:6" x14ac:dyDescent="0.25">
      <c r="A51" s="132" t="s">
        <v>533</v>
      </c>
      <c r="B51" s="54"/>
      <c r="C51" s="54"/>
      <c r="D51" s="54"/>
      <c r="E51" s="54"/>
      <c r="F51" s="54"/>
    </row>
    <row r="52" spans="1:6" x14ac:dyDescent="0.25">
      <c r="A52" s="133" t="s">
        <v>530</v>
      </c>
      <c r="B52" s="60"/>
      <c r="C52" s="60"/>
      <c r="D52" s="60"/>
      <c r="E52" s="60"/>
      <c r="F52" s="60"/>
    </row>
    <row r="53" spans="1:6" x14ac:dyDescent="0.25">
      <c r="A53" s="133" t="s">
        <v>531</v>
      </c>
      <c r="B53" s="60"/>
      <c r="C53" s="60"/>
      <c r="D53" s="60"/>
      <c r="E53" s="60"/>
      <c r="F53" s="60"/>
    </row>
    <row r="54" spans="1:6" x14ac:dyDescent="0.25">
      <c r="A54" s="133" t="s">
        <v>534</v>
      </c>
      <c r="B54" s="60"/>
      <c r="C54" s="60"/>
      <c r="D54" s="60"/>
      <c r="E54" s="60"/>
      <c r="F54" s="60"/>
    </row>
    <row r="55" spans="1:6" x14ac:dyDescent="0.25">
      <c r="A55" s="134"/>
      <c r="B55" s="54"/>
      <c r="C55" s="54"/>
      <c r="D55" s="54"/>
      <c r="E55" s="54"/>
      <c r="F55" s="54"/>
    </row>
    <row r="56" spans="1:6" x14ac:dyDescent="0.25">
      <c r="A56" s="132" t="s">
        <v>535</v>
      </c>
      <c r="B56" s="54"/>
      <c r="C56" s="54"/>
      <c r="D56" s="54"/>
      <c r="E56" s="54"/>
      <c r="F56" s="54"/>
    </row>
    <row r="57" spans="1:6" x14ac:dyDescent="0.25">
      <c r="A57" s="133" t="s">
        <v>530</v>
      </c>
      <c r="B57" s="60"/>
      <c r="C57" s="60"/>
      <c r="D57" s="60"/>
      <c r="E57" s="60"/>
      <c r="F57" s="60"/>
    </row>
    <row r="58" spans="1:6" x14ac:dyDescent="0.25">
      <c r="A58" s="133" t="s">
        <v>531</v>
      </c>
      <c r="B58" s="60"/>
      <c r="C58" s="60"/>
      <c r="D58" s="60"/>
      <c r="E58" s="60"/>
      <c r="F58" s="60"/>
    </row>
    <row r="59" spans="1:6" x14ac:dyDescent="0.25">
      <c r="A59" s="134"/>
      <c r="B59" s="54"/>
      <c r="C59" s="54"/>
      <c r="D59" s="54"/>
      <c r="E59" s="54"/>
      <c r="F59" s="54"/>
    </row>
    <row r="60" spans="1:6" x14ac:dyDescent="0.25">
      <c r="A60" s="132" t="s">
        <v>536</v>
      </c>
      <c r="B60" s="54"/>
      <c r="C60" s="54"/>
      <c r="D60" s="54"/>
      <c r="E60" s="54"/>
      <c r="F60" s="54"/>
    </row>
    <row r="61" spans="1:6" x14ac:dyDescent="0.25">
      <c r="A61" s="133" t="s">
        <v>537</v>
      </c>
      <c r="B61" s="60"/>
      <c r="C61" s="60"/>
      <c r="D61" s="60"/>
      <c r="E61" s="60"/>
      <c r="F61" s="60"/>
    </row>
    <row r="62" spans="1:6" x14ac:dyDescent="0.25">
      <c r="A62" s="133" t="s">
        <v>538</v>
      </c>
      <c r="B62" s="143"/>
      <c r="C62" s="60"/>
      <c r="D62" s="60"/>
      <c r="E62" s="60"/>
      <c r="F62" s="60"/>
    </row>
    <row r="63" spans="1:6" x14ac:dyDescent="0.25">
      <c r="A63" s="134"/>
      <c r="B63" s="54"/>
      <c r="C63" s="54"/>
      <c r="D63" s="54"/>
      <c r="E63" s="54"/>
      <c r="F63" s="54"/>
    </row>
    <row r="64" spans="1:6" x14ac:dyDescent="0.25">
      <c r="A64" s="132" t="s">
        <v>539</v>
      </c>
      <c r="B64" s="54"/>
      <c r="C64" s="54"/>
      <c r="D64" s="54"/>
      <c r="E64" s="54"/>
      <c r="F64" s="54"/>
    </row>
    <row r="65" spans="1:6" x14ac:dyDescent="0.25">
      <c r="A65" s="133" t="s">
        <v>540</v>
      </c>
      <c r="B65" s="60"/>
      <c r="C65" s="60"/>
      <c r="D65" s="60"/>
      <c r="E65" s="60"/>
      <c r="F65" s="60"/>
    </row>
    <row r="66" spans="1:6" x14ac:dyDescent="0.25">
      <c r="A66" s="133" t="s">
        <v>541</v>
      </c>
      <c r="B66" s="60"/>
      <c r="C66" s="60"/>
      <c r="D66" s="60"/>
      <c r="E66" s="60"/>
      <c r="F66" s="60"/>
    </row>
    <row r="67" spans="1:6" x14ac:dyDescent="0.25">
      <c r="A67" s="138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opLeftCell="B58" zoomScale="77" zoomScaleNormal="77" workbookViewId="0">
      <selection activeCell="D67" sqref="D67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89" customFormat="1" ht="37.5" customHeight="1" x14ac:dyDescent="0.25">
      <c r="A1" s="201" t="s">
        <v>545</v>
      </c>
      <c r="B1" s="201"/>
      <c r="C1" s="201"/>
      <c r="D1" s="201"/>
      <c r="E1" s="201"/>
      <c r="F1" s="201"/>
    </row>
    <row r="2" spans="1:6" ht="14.25" x14ac:dyDescent="0.45">
      <c r="A2" s="189" t="str">
        <f>ENTE_PUBLICO_A</f>
        <v>Municipio de Tierra Blanca Guanajuato, Gobierno del Estado de Guanajuato (a)</v>
      </c>
      <c r="B2" s="190"/>
      <c r="C2" s="190"/>
      <c r="D2" s="190"/>
      <c r="E2" s="190"/>
      <c r="F2" s="191"/>
    </row>
    <row r="3" spans="1:6" x14ac:dyDescent="0.25">
      <c r="A3" s="192" t="s">
        <v>117</v>
      </c>
      <c r="B3" s="193"/>
      <c r="C3" s="193"/>
      <c r="D3" s="193"/>
      <c r="E3" s="193"/>
      <c r="F3" s="194"/>
    </row>
    <row r="4" spans="1:6" ht="14.25" x14ac:dyDescent="0.45">
      <c r="A4" s="195" t="str">
        <f>PERIODO_INFORME</f>
        <v>Al 31 de diciembre de 2021 y al 30 de septiembre de 2022 (b)</v>
      </c>
      <c r="B4" s="196"/>
      <c r="C4" s="196"/>
      <c r="D4" s="196"/>
      <c r="E4" s="196"/>
      <c r="F4" s="197"/>
    </row>
    <row r="5" spans="1:6" ht="14.25" x14ac:dyDescent="0.45">
      <c r="A5" s="198" t="s">
        <v>118</v>
      </c>
      <c r="B5" s="199"/>
      <c r="C5" s="199"/>
      <c r="D5" s="199"/>
      <c r="E5" s="199"/>
      <c r="F5" s="200"/>
    </row>
    <row r="6" spans="1:6" s="3" customFormat="1" ht="28.5" x14ac:dyDescent="0.45">
      <c r="A6" s="129" t="s">
        <v>3284</v>
      </c>
      <c r="B6" s="130" t="str">
        <f>ANIO</f>
        <v>2022 (d)</v>
      </c>
      <c r="C6" s="127" t="str">
        <f>ULTIMO</f>
        <v>31 de diciembre de 2021 (e)</v>
      </c>
      <c r="D6" s="131" t="s">
        <v>0</v>
      </c>
      <c r="E6" s="130" t="str">
        <f>ANIO</f>
        <v>2022 (d)</v>
      </c>
      <c r="F6" s="127" t="str">
        <f>ULTIMO</f>
        <v>31 de diciembre de 2021 (e)</v>
      </c>
    </row>
    <row r="7" spans="1:6" ht="14.25" x14ac:dyDescent="0.45">
      <c r="A7" s="93" t="s">
        <v>1</v>
      </c>
      <c r="B7" s="86"/>
      <c r="C7" s="86"/>
      <c r="D7" s="97" t="s">
        <v>52</v>
      </c>
      <c r="E7" s="86"/>
      <c r="F7" s="86"/>
    </row>
    <row r="8" spans="1:6" ht="14.25" x14ac:dyDescent="0.45">
      <c r="A8" s="38" t="s">
        <v>2</v>
      </c>
      <c r="B8" s="54"/>
      <c r="C8" s="54"/>
      <c r="D8" s="98" t="s">
        <v>53</v>
      </c>
      <c r="E8" s="54"/>
      <c r="F8" s="54"/>
    </row>
    <row r="9" spans="1:6" x14ac:dyDescent="0.25">
      <c r="A9" s="94" t="s">
        <v>3</v>
      </c>
      <c r="B9" s="60">
        <f>SUM(B10:B16)</f>
        <v>43493149.719999999</v>
      </c>
      <c r="C9" s="60">
        <f>SUM(C10:C16)</f>
        <v>17654251.77</v>
      </c>
      <c r="D9" s="99" t="s">
        <v>54</v>
      </c>
      <c r="E9" s="60">
        <f>SUM(E10:E18)</f>
        <v>3409168.99</v>
      </c>
      <c r="F9" s="60">
        <f>SUM(F10:F18)</f>
        <v>6828593.0999999996</v>
      </c>
    </row>
    <row r="10" spans="1:6" x14ac:dyDescent="0.25">
      <c r="A10" s="95" t="s">
        <v>4</v>
      </c>
      <c r="B10" s="175"/>
      <c r="C10" s="175"/>
      <c r="D10" s="100" t="s">
        <v>55</v>
      </c>
      <c r="E10" s="174">
        <v>-190797.14</v>
      </c>
      <c r="F10" s="174">
        <v>-67702.73</v>
      </c>
    </row>
    <row r="11" spans="1:6" x14ac:dyDescent="0.25">
      <c r="A11" s="95" t="s">
        <v>5</v>
      </c>
      <c r="B11" s="174">
        <v>43302957.280000001</v>
      </c>
      <c r="C11" s="174">
        <v>17034592.41</v>
      </c>
      <c r="D11" s="100" t="s">
        <v>56</v>
      </c>
      <c r="E11" s="174">
        <v>443263.82</v>
      </c>
      <c r="F11" s="174">
        <v>246801.63</v>
      </c>
    </row>
    <row r="12" spans="1:6" x14ac:dyDescent="0.25">
      <c r="A12" s="95" t="s">
        <v>6</v>
      </c>
      <c r="B12" s="174">
        <v>176734.46</v>
      </c>
      <c r="C12" s="174">
        <v>224293.79</v>
      </c>
      <c r="D12" s="100" t="s">
        <v>57</v>
      </c>
      <c r="E12" s="174">
        <v>395116.04</v>
      </c>
      <c r="F12" s="174">
        <v>2919544.94</v>
      </c>
    </row>
    <row r="13" spans="1:6" x14ac:dyDescent="0.25">
      <c r="A13" s="95" t="s">
        <v>7</v>
      </c>
      <c r="B13" s="175"/>
      <c r="C13" s="175"/>
      <c r="D13" s="100" t="s">
        <v>58</v>
      </c>
      <c r="E13" s="175"/>
      <c r="F13" s="175"/>
    </row>
    <row r="14" spans="1:6" x14ac:dyDescent="0.25">
      <c r="A14" s="95" t="s">
        <v>8</v>
      </c>
      <c r="B14" s="174">
        <v>13457.98</v>
      </c>
      <c r="C14" s="174">
        <v>395365.57</v>
      </c>
      <c r="D14" s="100" t="s">
        <v>59</v>
      </c>
      <c r="E14" s="174">
        <v>-195076.87</v>
      </c>
      <c r="F14" s="174">
        <v>1569147.95</v>
      </c>
    </row>
    <row r="15" spans="1:6" x14ac:dyDescent="0.25">
      <c r="A15" s="95" t="s">
        <v>9</v>
      </c>
      <c r="B15" s="175"/>
      <c r="C15" s="175"/>
      <c r="D15" s="100" t="s">
        <v>60</v>
      </c>
      <c r="E15" s="175"/>
      <c r="F15" s="175"/>
    </row>
    <row r="16" spans="1:6" x14ac:dyDescent="0.25">
      <c r="A16" s="95" t="s">
        <v>10</v>
      </c>
      <c r="B16" s="175"/>
      <c r="C16" s="175"/>
      <c r="D16" s="100" t="s">
        <v>61</v>
      </c>
      <c r="E16" s="174">
        <v>178187.6</v>
      </c>
      <c r="F16" s="174">
        <v>323371.28999999998</v>
      </c>
    </row>
    <row r="17" spans="1:6" x14ac:dyDescent="0.25">
      <c r="A17" s="94" t="s">
        <v>11</v>
      </c>
      <c r="B17" s="60">
        <f>SUM(B18:B24)</f>
        <v>1618950.9500000002</v>
      </c>
      <c r="C17" s="60">
        <f>SUM(C18:C24)</f>
        <v>915654.83000000007</v>
      </c>
      <c r="D17" s="100" t="s">
        <v>62</v>
      </c>
      <c r="E17" s="175"/>
      <c r="F17" s="175"/>
    </row>
    <row r="18" spans="1:6" x14ac:dyDescent="0.25">
      <c r="A18" s="96" t="s">
        <v>12</v>
      </c>
      <c r="B18" s="175"/>
      <c r="C18" s="175"/>
      <c r="D18" s="100" t="s">
        <v>63</v>
      </c>
      <c r="E18" s="174">
        <v>2778475.54</v>
      </c>
      <c r="F18" s="174">
        <v>1837430.02</v>
      </c>
    </row>
    <row r="19" spans="1:6" x14ac:dyDescent="0.25">
      <c r="A19" s="96" t="s">
        <v>13</v>
      </c>
      <c r="B19" s="174">
        <v>448067.52</v>
      </c>
      <c r="C19" s="174">
        <v>429809.63</v>
      </c>
      <c r="D19" s="99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6" t="s">
        <v>14</v>
      </c>
      <c r="B20" s="174">
        <v>184128</v>
      </c>
      <c r="C20" s="174">
        <v>4746.82</v>
      </c>
      <c r="D20" s="100" t="s">
        <v>65</v>
      </c>
      <c r="E20" s="60">
        <v>0</v>
      </c>
      <c r="F20" s="60">
        <v>0</v>
      </c>
    </row>
    <row r="21" spans="1:6" x14ac:dyDescent="0.25">
      <c r="A21" s="96" t="s">
        <v>15</v>
      </c>
      <c r="B21" s="175"/>
      <c r="C21" s="175"/>
      <c r="D21" s="100" t="s">
        <v>66</v>
      </c>
      <c r="E21" s="60">
        <v>0</v>
      </c>
      <c r="F21" s="60">
        <v>0</v>
      </c>
    </row>
    <row r="22" spans="1:6" x14ac:dyDescent="0.25">
      <c r="A22" s="96" t="s">
        <v>16</v>
      </c>
      <c r="B22" s="174">
        <v>20000</v>
      </c>
      <c r="C22" s="174">
        <v>20000</v>
      </c>
      <c r="D22" s="100" t="s">
        <v>67</v>
      </c>
      <c r="E22" s="60">
        <v>0</v>
      </c>
      <c r="F22" s="60">
        <v>0</v>
      </c>
    </row>
    <row r="23" spans="1:6" x14ac:dyDescent="0.25">
      <c r="A23" s="96" t="s">
        <v>17</v>
      </c>
      <c r="B23" s="175"/>
      <c r="C23" s="175"/>
      <c r="D23" s="99" t="s">
        <v>68</v>
      </c>
      <c r="E23" s="60">
        <v>0</v>
      </c>
      <c r="F23" s="60">
        <f>F24+F25</f>
        <v>0</v>
      </c>
    </row>
    <row r="24" spans="1:6" x14ac:dyDescent="0.25">
      <c r="A24" s="96" t="s">
        <v>18</v>
      </c>
      <c r="B24" s="174">
        <v>966755.43</v>
      </c>
      <c r="C24" s="174">
        <v>461098.38</v>
      </c>
      <c r="D24" s="100" t="s">
        <v>69</v>
      </c>
      <c r="E24" s="155">
        <v>0</v>
      </c>
      <c r="F24" s="60">
        <v>0</v>
      </c>
    </row>
    <row r="25" spans="1:6" x14ac:dyDescent="0.25">
      <c r="A25" s="94" t="s">
        <v>19</v>
      </c>
      <c r="B25" s="60">
        <f>SUM(B26:B30)</f>
        <v>2763284.27</v>
      </c>
      <c r="C25" s="60">
        <f>SUM(C26:C30)</f>
        <v>1638755.11</v>
      </c>
      <c r="D25" s="100" t="s">
        <v>70</v>
      </c>
      <c r="E25" s="60">
        <v>0</v>
      </c>
      <c r="F25" s="60">
        <v>0</v>
      </c>
    </row>
    <row r="26" spans="1:6" x14ac:dyDescent="0.25">
      <c r="A26" s="96" t="s">
        <v>20</v>
      </c>
      <c r="B26" s="174">
        <v>107800</v>
      </c>
      <c r="C26" s="174">
        <v>107800</v>
      </c>
      <c r="D26" s="99" t="s">
        <v>71</v>
      </c>
      <c r="E26" s="60">
        <v>0</v>
      </c>
      <c r="F26" s="60">
        <v>0</v>
      </c>
    </row>
    <row r="27" spans="1:6" x14ac:dyDescent="0.25">
      <c r="A27" s="96" t="s">
        <v>21</v>
      </c>
      <c r="B27" s="175"/>
      <c r="C27" s="175"/>
      <c r="D27" s="99" t="s">
        <v>72</v>
      </c>
      <c r="E27" s="60">
        <v>0</v>
      </c>
      <c r="F27" s="60">
        <f>SUM(F28:F30)</f>
        <v>2000000</v>
      </c>
    </row>
    <row r="28" spans="1:6" x14ac:dyDescent="0.25">
      <c r="A28" s="96" t="s">
        <v>22</v>
      </c>
      <c r="B28" s="175"/>
      <c r="C28" s="175"/>
      <c r="D28" s="100" t="s">
        <v>73</v>
      </c>
      <c r="E28" s="60">
        <v>0</v>
      </c>
      <c r="F28" s="60">
        <v>0</v>
      </c>
    </row>
    <row r="29" spans="1:6" x14ac:dyDescent="0.25">
      <c r="A29" s="96" t="s">
        <v>23</v>
      </c>
      <c r="B29" s="174">
        <v>2655484.27</v>
      </c>
      <c r="C29" s="174">
        <v>1530955.11</v>
      </c>
      <c r="D29" s="100" t="s">
        <v>74</v>
      </c>
      <c r="E29" s="60">
        <v>0</v>
      </c>
      <c r="F29" s="60">
        <v>0</v>
      </c>
    </row>
    <row r="30" spans="1:6" x14ac:dyDescent="0.25">
      <c r="A30" s="96" t="s">
        <v>24</v>
      </c>
      <c r="B30" s="175"/>
      <c r="C30" s="175"/>
      <c r="D30" s="100" t="s">
        <v>75</v>
      </c>
      <c r="E30" s="60">
        <v>0</v>
      </c>
      <c r="F30" s="174">
        <v>2000000</v>
      </c>
    </row>
    <row r="31" spans="1:6" x14ac:dyDescent="0.25">
      <c r="A31" s="94" t="s">
        <v>25</v>
      </c>
      <c r="B31" s="60">
        <f>SUM(B32:B36)</f>
        <v>0</v>
      </c>
      <c r="C31" s="60">
        <f>SUM(C32:C36)</f>
        <v>0</v>
      </c>
      <c r="D31" s="99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6" t="s">
        <v>26</v>
      </c>
      <c r="B32" s="60">
        <v>0</v>
      </c>
      <c r="C32" s="60">
        <v>0</v>
      </c>
      <c r="D32" s="100" t="s">
        <v>77</v>
      </c>
      <c r="E32" s="60">
        <v>0</v>
      </c>
      <c r="F32" s="60">
        <v>0</v>
      </c>
    </row>
    <row r="33" spans="1:6" x14ac:dyDescent="0.25">
      <c r="A33" s="96" t="s">
        <v>27</v>
      </c>
      <c r="B33" s="60">
        <v>0</v>
      </c>
      <c r="C33" s="60">
        <v>0</v>
      </c>
      <c r="D33" s="100" t="s">
        <v>78</v>
      </c>
      <c r="E33" s="60">
        <v>0</v>
      </c>
      <c r="F33" s="60">
        <v>0</v>
      </c>
    </row>
    <row r="34" spans="1:6" x14ac:dyDescent="0.25">
      <c r="A34" s="96" t="s">
        <v>28</v>
      </c>
      <c r="B34" s="60">
        <v>0</v>
      </c>
      <c r="C34" s="60">
        <v>0</v>
      </c>
      <c r="D34" s="100" t="s">
        <v>79</v>
      </c>
      <c r="E34" s="60">
        <v>0</v>
      </c>
      <c r="F34" s="60">
        <v>0</v>
      </c>
    </row>
    <row r="35" spans="1:6" x14ac:dyDescent="0.25">
      <c r="A35" s="96" t="s">
        <v>29</v>
      </c>
      <c r="B35" s="60">
        <v>0</v>
      </c>
      <c r="C35" s="60">
        <v>0</v>
      </c>
      <c r="D35" s="100" t="s">
        <v>80</v>
      </c>
      <c r="E35" s="60">
        <v>0</v>
      </c>
      <c r="F35" s="60">
        <v>0</v>
      </c>
    </row>
    <row r="36" spans="1:6" x14ac:dyDescent="0.25">
      <c r="A36" s="96" t="s">
        <v>30</v>
      </c>
      <c r="B36" s="60">
        <v>0</v>
      </c>
      <c r="C36" s="60">
        <v>0</v>
      </c>
      <c r="D36" s="100" t="s">
        <v>81</v>
      </c>
      <c r="E36" s="60">
        <v>0</v>
      </c>
      <c r="F36" s="60">
        <v>0</v>
      </c>
    </row>
    <row r="37" spans="1:6" x14ac:dyDescent="0.25">
      <c r="A37" s="94" t="s">
        <v>31</v>
      </c>
      <c r="B37" s="174">
        <v>17550</v>
      </c>
      <c r="C37" s="174">
        <v>17550</v>
      </c>
      <c r="D37" s="100" t="s">
        <v>82</v>
      </c>
      <c r="E37" s="60">
        <v>0</v>
      </c>
      <c r="F37" s="60">
        <v>0</v>
      </c>
    </row>
    <row r="38" spans="1:6" x14ac:dyDescent="0.25">
      <c r="A38" s="94" t="s">
        <v>119</v>
      </c>
      <c r="B38" s="60">
        <f>SUM(B39:B40)</f>
        <v>0</v>
      </c>
      <c r="C38" s="60">
        <f>SUM(C39:C40)</f>
        <v>0</v>
      </c>
      <c r="D38" s="99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6" t="s">
        <v>32</v>
      </c>
      <c r="B39" s="60">
        <v>0</v>
      </c>
      <c r="C39" s="60">
        <v>0</v>
      </c>
      <c r="D39" s="100" t="s">
        <v>84</v>
      </c>
      <c r="E39" s="60">
        <v>0</v>
      </c>
      <c r="F39" s="60">
        <v>0</v>
      </c>
    </row>
    <row r="40" spans="1:6" x14ac:dyDescent="0.25">
      <c r="A40" s="96" t="s">
        <v>33</v>
      </c>
      <c r="B40" s="60">
        <v>0</v>
      </c>
      <c r="C40" s="60">
        <v>0</v>
      </c>
      <c r="D40" s="100" t="s">
        <v>85</v>
      </c>
      <c r="E40" s="60">
        <v>0</v>
      </c>
      <c r="F40" s="60">
        <v>0</v>
      </c>
    </row>
    <row r="41" spans="1:6" x14ac:dyDescent="0.25">
      <c r="A41" s="94" t="s">
        <v>34</v>
      </c>
      <c r="B41" s="60">
        <f>SUM(B42:B45)</f>
        <v>0</v>
      </c>
      <c r="C41" s="60">
        <f>SUM(C42:C45)</f>
        <v>0</v>
      </c>
      <c r="D41" s="100" t="s">
        <v>86</v>
      </c>
      <c r="E41" s="60">
        <v>0</v>
      </c>
      <c r="F41" s="60">
        <v>0</v>
      </c>
    </row>
    <row r="42" spans="1:6" x14ac:dyDescent="0.25">
      <c r="A42" s="96" t="s">
        <v>35</v>
      </c>
      <c r="B42" s="60">
        <v>0</v>
      </c>
      <c r="C42" s="60">
        <v>0</v>
      </c>
      <c r="D42" s="99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6" t="s">
        <v>36</v>
      </c>
      <c r="B43" s="60">
        <v>0</v>
      </c>
      <c r="C43" s="60">
        <v>0</v>
      </c>
      <c r="D43" s="100" t="s">
        <v>88</v>
      </c>
      <c r="E43" s="60">
        <v>0</v>
      </c>
      <c r="F43" s="60">
        <v>0</v>
      </c>
    </row>
    <row r="44" spans="1:6" x14ac:dyDescent="0.25">
      <c r="A44" s="96" t="s">
        <v>37</v>
      </c>
      <c r="B44" s="60">
        <v>0</v>
      </c>
      <c r="C44" s="60">
        <v>0</v>
      </c>
      <c r="D44" s="100" t="s">
        <v>89</v>
      </c>
      <c r="E44" s="60">
        <v>0</v>
      </c>
      <c r="F44" s="60">
        <v>0</v>
      </c>
    </row>
    <row r="45" spans="1:6" x14ac:dyDescent="0.25">
      <c r="A45" s="96" t="s">
        <v>38</v>
      </c>
      <c r="B45" s="60">
        <v>0</v>
      </c>
      <c r="C45" s="60">
        <v>0</v>
      </c>
      <c r="D45" s="100" t="s">
        <v>90</v>
      </c>
      <c r="E45" s="60">
        <v>0</v>
      </c>
      <c r="F45" s="60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B9+B17+B25+B31+B38+B41+B37</f>
        <v>47892934.940000005</v>
      </c>
      <c r="C47" s="228">
        <f>C9+C17+C25+C31+C38+C41+C37</f>
        <v>20226211.710000001</v>
      </c>
      <c r="D47" s="98" t="s">
        <v>91</v>
      </c>
      <c r="E47" s="61">
        <f>E9+E19+E23+E26+E27+E31+E38+E42</f>
        <v>3409168.99</v>
      </c>
      <c r="F47" s="61">
        <f>F9+F19+F23+F26+F27+F31+F38+F42</f>
        <v>8828593.0999999996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8" t="s">
        <v>92</v>
      </c>
      <c r="E49" s="54"/>
      <c r="F49" s="54"/>
    </row>
    <row r="50" spans="1:6" x14ac:dyDescent="0.25">
      <c r="A50" s="94" t="s">
        <v>41</v>
      </c>
      <c r="B50" s="174"/>
      <c r="C50" s="174"/>
      <c r="D50" s="99" t="s">
        <v>93</v>
      </c>
      <c r="E50" s="60">
        <v>0</v>
      </c>
      <c r="F50" s="60">
        <v>0</v>
      </c>
    </row>
    <row r="51" spans="1:6" x14ac:dyDescent="0.25">
      <c r="A51" s="94" t="s">
        <v>42</v>
      </c>
      <c r="B51" s="174"/>
      <c r="C51" s="174"/>
      <c r="D51" s="99" t="s">
        <v>94</v>
      </c>
      <c r="E51" s="60">
        <v>0</v>
      </c>
      <c r="F51" s="60">
        <v>0</v>
      </c>
    </row>
    <row r="52" spans="1:6" x14ac:dyDescent="0.25">
      <c r="A52" s="94" t="s">
        <v>43</v>
      </c>
      <c r="B52" s="174"/>
      <c r="C52" s="174"/>
      <c r="D52" s="99" t="s">
        <v>95</v>
      </c>
      <c r="E52" s="60">
        <v>0</v>
      </c>
      <c r="F52" s="60">
        <v>0</v>
      </c>
    </row>
    <row r="53" spans="1:6" x14ac:dyDescent="0.25">
      <c r="A53" s="94" t="s">
        <v>44</v>
      </c>
      <c r="B53" s="174"/>
      <c r="C53" s="174"/>
      <c r="D53" s="99" t="s">
        <v>96</v>
      </c>
      <c r="E53" s="60">
        <v>0</v>
      </c>
      <c r="F53" s="60">
        <v>0</v>
      </c>
    </row>
    <row r="54" spans="1:6" x14ac:dyDescent="0.25">
      <c r="A54" s="94" t="s">
        <v>45</v>
      </c>
      <c r="B54" s="174"/>
      <c r="C54" s="174"/>
      <c r="D54" s="99" t="s">
        <v>97</v>
      </c>
      <c r="E54" s="60">
        <v>0</v>
      </c>
      <c r="F54" s="60">
        <v>0</v>
      </c>
    </row>
    <row r="55" spans="1:6" x14ac:dyDescent="0.25">
      <c r="A55" s="94" t="s">
        <v>46</v>
      </c>
      <c r="B55" s="174"/>
      <c r="C55" s="174"/>
      <c r="D55" s="37" t="s">
        <v>98</v>
      </c>
      <c r="E55" s="60">
        <v>0</v>
      </c>
      <c r="F55" s="60">
        <v>0</v>
      </c>
    </row>
    <row r="56" spans="1:6" x14ac:dyDescent="0.25">
      <c r="A56" s="94" t="s">
        <v>47</v>
      </c>
      <c r="B56" s="174"/>
      <c r="C56" s="174"/>
      <c r="D56" s="54"/>
      <c r="E56" s="54"/>
      <c r="F56" s="54"/>
    </row>
    <row r="57" spans="1:6" x14ac:dyDescent="0.25">
      <c r="A57" s="94" t="s">
        <v>48</v>
      </c>
      <c r="B57" s="174">
        <v>0</v>
      </c>
      <c r="C57" s="174">
        <v>0</v>
      </c>
      <c r="D57" s="98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4" t="s">
        <v>49</v>
      </c>
      <c r="B58" s="174">
        <v>0</v>
      </c>
      <c r="C58" s="174">
        <v>0</v>
      </c>
      <c r="D58" s="54"/>
      <c r="E58" s="54"/>
      <c r="F58" s="54"/>
    </row>
    <row r="59" spans="1:6" x14ac:dyDescent="0.25">
      <c r="A59" s="54"/>
      <c r="B59" s="54"/>
      <c r="C59" s="54"/>
      <c r="D59" s="98" t="s">
        <v>100</v>
      </c>
      <c r="E59" s="61">
        <f>E47+E57</f>
        <v>3409168.99</v>
      </c>
      <c r="F59" s="61">
        <f>F47+F57</f>
        <v>8828593.0999999996</v>
      </c>
    </row>
    <row r="60" spans="1:6" x14ac:dyDescent="0.25">
      <c r="A60" s="55" t="s">
        <v>50</v>
      </c>
      <c r="B60" s="61">
        <f>SUM(B50:B58)</f>
        <v>0</v>
      </c>
      <c r="C60" s="61">
        <f>SUM(C50:C58)</f>
        <v>0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2"/>
      <c r="F61" s="92"/>
    </row>
    <row r="62" spans="1:6" x14ac:dyDescent="0.25">
      <c r="A62" s="55" t="s">
        <v>51</v>
      </c>
      <c r="B62" s="61">
        <f>SUM(B47+B60)</f>
        <v>47892934.940000005</v>
      </c>
      <c r="C62" s="61">
        <f>SUM(C47+C60)</f>
        <v>20226211.710000001</v>
      </c>
      <c r="D62" s="54"/>
      <c r="E62" s="54"/>
      <c r="F62" s="54"/>
    </row>
    <row r="63" spans="1:6" x14ac:dyDescent="0.25">
      <c r="A63" s="54"/>
      <c r="B63" s="54"/>
      <c r="C63" s="54"/>
      <c r="D63" s="101" t="s">
        <v>102</v>
      </c>
      <c r="E63" s="76">
        <f>SUM(E64:E66)</f>
        <v>18704088.579999998</v>
      </c>
      <c r="F63" s="76">
        <f>SUM(F64:F66)</f>
        <v>18704088.579999998</v>
      </c>
    </row>
    <row r="64" spans="1:6" x14ac:dyDescent="0.25">
      <c r="A64" s="54"/>
      <c r="B64" s="54"/>
      <c r="C64" s="54"/>
      <c r="D64" s="102" t="s">
        <v>103</v>
      </c>
      <c r="E64" s="174">
        <v>18583052.469999999</v>
      </c>
      <c r="F64" s="174">
        <v>18583052.469999999</v>
      </c>
    </row>
    <row r="65" spans="1:6" x14ac:dyDescent="0.25">
      <c r="A65" s="54"/>
      <c r="B65" s="54"/>
      <c r="C65" s="54"/>
      <c r="D65" s="41" t="s">
        <v>104</v>
      </c>
      <c r="E65" s="174">
        <v>121036.11</v>
      </c>
      <c r="F65" s="174">
        <v>121036.11</v>
      </c>
    </row>
    <row r="66" spans="1:6" x14ac:dyDescent="0.25">
      <c r="A66" s="54"/>
      <c r="B66" s="54"/>
      <c r="C66" s="54"/>
      <c r="D66" s="102" t="s">
        <v>105</v>
      </c>
      <c r="E66" s="174">
        <v>0</v>
      </c>
      <c r="F66" s="174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1" t="s">
        <v>106</v>
      </c>
      <c r="E68" s="76">
        <f>SUM(E69:E73)</f>
        <v>390599230.95999998</v>
      </c>
      <c r="F68" s="76">
        <f>SUM(F69:F73)</f>
        <v>376123665.69999999</v>
      </c>
    </row>
    <row r="69" spans="1:6" x14ac:dyDescent="0.25">
      <c r="A69" s="12"/>
      <c r="B69" s="54"/>
      <c r="C69" s="54"/>
      <c r="D69" s="102" t="s">
        <v>107</v>
      </c>
      <c r="E69" s="174">
        <v>34975293.649999999</v>
      </c>
      <c r="F69" s="174">
        <v>27430316.870000001</v>
      </c>
    </row>
    <row r="70" spans="1:6" x14ac:dyDescent="0.25">
      <c r="A70" s="12"/>
      <c r="B70" s="54"/>
      <c r="C70" s="54"/>
      <c r="D70" s="102" t="s">
        <v>108</v>
      </c>
      <c r="E70" s="174">
        <v>355623937.31</v>
      </c>
      <c r="F70" s="174">
        <v>348693348.82999998</v>
      </c>
    </row>
    <row r="71" spans="1:6" x14ac:dyDescent="0.25">
      <c r="A71" s="12"/>
      <c r="B71" s="54"/>
      <c r="C71" s="54"/>
      <c r="D71" s="102" t="s">
        <v>109</v>
      </c>
      <c r="E71" s="76">
        <v>0</v>
      </c>
      <c r="F71" s="76">
        <v>0</v>
      </c>
    </row>
    <row r="72" spans="1:6" x14ac:dyDescent="0.25">
      <c r="A72" s="12"/>
      <c r="B72" s="54"/>
      <c r="C72" s="54"/>
      <c r="D72" s="102" t="s">
        <v>110</v>
      </c>
      <c r="E72" s="76">
        <v>0</v>
      </c>
      <c r="F72" s="76">
        <v>0</v>
      </c>
    </row>
    <row r="73" spans="1:6" x14ac:dyDescent="0.25">
      <c r="A73" s="12"/>
      <c r="B73" s="54"/>
      <c r="C73" s="54"/>
      <c r="D73" s="102" t="s">
        <v>111</v>
      </c>
      <c r="E73" s="76">
        <v>0</v>
      </c>
      <c r="F73" s="76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1" t="s">
        <v>112</v>
      </c>
      <c r="E75" s="76">
        <f>E76+E77</f>
        <v>0</v>
      </c>
      <c r="F75" s="76">
        <f>F76+F77</f>
        <v>0</v>
      </c>
    </row>
    <row r="76" spans="1:6" x14ac:dyDescent="0.25">
      <c r="A76" s="12"/>
      <c r="B76" s="54"/>
      <c r="C76" s="54"/>
      <c r="D76" s="99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99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8" t="s">
        <v>115</v>
      </c>
      <c r="E79" s="61">
        <f>E63+E68+E75</f>
        <v>409303319.53999996</v>
      </c>
      <c r="F79" s="61">
        <f>F63+F68+F75</f>
        <v>394827754.27999997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8" t="s">
        <v>116</v>
      </c>
      <c r="E81" s="61">
        <f>E59+E79</f>
        <v>412712488.52999997</v>
      </c>
      <c r="F81" s="61">
        <f>F59+F79</f>
        <v>403656347.38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43493149.719999999</v>
      </c>
      <c r="Q4" s="18">
        <f>'Formato 1'!C9</f>
        <v>17654251.77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43302957.280000001</v>
      </c>
      <c r="Q6" s="18">
        <f>'Formato 1'!C11</f>
        <v>17034592.41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176734.46</v>
      </c>
      <c r="Q7" s="18">
        <f>'Formato 1'!C12</f>
        <v>224293.79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13457.98</v>
      </c>
      <c r="Q9" s="18">
        <f>'Formato 1'!C14</f>
        <v>395365.57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1618950.9500000002</v>
      </c>
      <c r="Q12" s="18">
        <f>'Formato 1'!C17</f>
        <v>915654.83000000007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448067.52</v>
      </c>
      <c r="Q14" s="18">
        <f>'Formato 1'!C19</f>
        <v>429809.63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184128</v>
      </c>
      <c r="Q15" s="18">
        <f>'Formato 1'!C20</f>
        <v>4746.82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20000</v>
      </c>
      <c r="Q17" s="18">
        <f>'Formato 1'!C22</f>
        <v>20000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966755.43</v>
      </c>
      <c r="Q19" s="18">
        <f>'Formato 1'!C24</f>
        <v>461098.38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2763284.27</v>
      </c>
      <c r="Q20" s="18">
        <f>'Formato 1'!C25</f>
        <v>1638755.11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107800</v>
      </c>
      <c r="Q21" s="18">
        <f>'Formato 1'!C26</f>
        <v>107800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2655484.27</v>
      </c>
      <c r="Q24" s="18">
        <f>'Formato 1'!C29</f>
        <v>1530955.11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17550</v>
      </c>
      <c r="Q32" s="18">
        <f>'Formato 1'!C37</f>
        <v>17550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17550</v>
      </c>
      <c r="Q33" s="18">
        <f>'Formato 1'!C37</f>
        <v>17550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47892934.940000005</v>
      </c>
      <c r="Q42" s="18">
        <f>'Formato 1'!C47</f>
        <v>20226211.710000001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0</v>
      </c>
      <c r="Q46">
        <f>'Formato 1'!C52</f>
        <v>0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0</v>
      </c>
      <c r="Q47">
        <f>'Formato 1'!C53</f>
        <v>0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0</v>
      </c>
      <c r="Q48">
        <f>'Formato 1'!C54</f>
        <v>0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0</v>
      </c>
      <c r="Q49">
        <f>'Formato 1'!C55</f>
        <v>0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0</v>
      </c>
      <c r="Q53">
        <f>'Formato 1'!C60</f>
        <v>0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47892934.940000005</v>
      </c>
      <c r="Q54">
        <f>'Formato 1'!C62</f>
        <v>20226211.710000001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3409168.99</v>
      </c>
      <c r="Q57">
        <f>'Formato 1'!F9</f>
        <v>6828593.0999999996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-190797.14</v>
      </c>
      <c r="Q58">
        <f>'Formato 1'!F10</f>
        <v>-67702.73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443263.82</v>
      </c>
      <c r="Q59">
        <f>'Formato 1'!F11</f>
        <v>246801.63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395116.04</v>
      </c>
      <c r="Q60">
        <f>'Formato 1'!F12</f>
        <v>2919544.94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-195076.87</v>
      </c>
      <c r="Q62">
        <f>'Formato 1'!F14</f>
        <v>1569147.95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178187.6</v>
      </c>
      <c r="Q64">
        <f>'Formato 1'!F16</f>
        <v>323371.28999999998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2778475.54</v>
      </c>
      <c r="Q66">
        <f>'Formato 1'!F18</f>
        <v>1837430.02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2000000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2000000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3409168.99</v>
      </c>
      <c r="Q95">
        <f>'Formato 1'!F47</f>
        <v>8828593.0999999996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3409168.99</v>
      </c>
      <c r="Q104">
        <f>'Formato 1'!F59</f>
        <v>8828593.0999999996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18704088.579999998</v>
      </c>
      <c r="Q106">
        <f>'Formato 1'!F63</f>
        <v>18704088.579999998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18583052.469999999</v>
      </c>
      <c r="Q107">
        <f>'Formato 1'!F64</f>
        <v>18583052.469999999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121036.11</v>
      </c>
      <c r="Q108">
        <f>'Formato 1'!F65</f>
        <v>121036.11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390599230.95999998</v>
      </c>
      <c r="Q110">
        <f>'Formato 1'!F68</f>
        <v>376123665.69999999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34975293.649999999</v>
      </c>
      <c r="Q111">
        <f>'Formato 1'!F69</f>
        <v>27430316.870000001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355623937.31</v>
      </c>
      <c r="Q112">
        <f>'Formato 1'!F70</f>
        <v>348693348.82999998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409303319.53999996</v>
      </c>
      <c r="Q119">
        <f>'Formato 1'!F79</f>
        <v>394827754.27999997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412712488.52999997</v>
      </c>
      <c r="Q120">
        <f>'Formato 1'!F81</f>
        <v>403656347.38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topLeftCell="B1" zoomScale="90" zoomScaleNormal="90" workbookViewId="0">
      <selection activeCell="H25" sqref="H25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89" customFormat="1" ht="37.5" customHeight="1" x14ac:dyDescent="0.25">
      <c r="A1" s="203" t="s">
        <v>544</v>
      </c>
      <c r="B1" s="203"/>
      <c r="C1" s="203"/>
      <c r="D1" s="203"/>
      <c r="E1" s="203"/>
      <c r="F1" s="203"/>
      <c r="G1" s="203"/>
      <c r="H1" s="203"/>
    </row>
    <row r="2" spans="1:9" ht="14.25" x14ac:dyDescent="0.45">
      <c r="A2" s="189" t="str">
        <f>ENTE_PUBLICO_A</f>
        <v>Municipio de Tierra Blanca Guanajuato, Gobierno del Estado de Guanajuato (a)</v>
      </c>
      <c r="B2" s="190"/>
      <c r="C2" s="190"/>
      <c r="D2" s="190"/>
      <c r="E2" s="190"/>
      <c r="F2" s="190"/>
      <c r="G2" s="190"/>
      <c r="H2" s="191"/>
    </row>
    <row r="3" spans="1:9" x14ac:dyDescent="0.25">
      <c r="A3" s="192" t="s">
        <v>120</v>
      </c>
      <c r="B3" s="193"/>
      <c r="C3" s="193"/>
      <c r="D3" s="193"/>
      <c r="E3" s="193"/>
      <c r="F3" s="193"/>
      <c r="G3" s="193"/>
      <c r="H3" s="194"/>
    </row>
    <row r="4" spans="1:9" ht="14.25" x14ac:dyDescent="0.45">
      <c r="A4" s="195" t="str">
        <f>PERIODO_INFORME</f>
        <v>Al 31 de diciembre de 2021 y al 30 de septiembre de 2022 (b)</v>
      </c>
      <c r="B4" s="196"/>
      <c r="C4" s="196"/>
      <c r="D4" s="196"/>
      <c r="E4" s="196"/>
      <c r="F4" s="196"/>
      <c r="G4" s="196"/>
      <c r="H4" s="197"/>
    </row>
    <row r="5" spans="1:9" ht="14.25" x14ac:dyDescent="0.45">
      <c r="A5" s="198" t="s">
        <v>118</v>
      </c>
      <c r="B5" s="199"/>
      <c r="C5" s="199"/>
      <c r="D5" s="199"/>
      <c r="E5" s="199"/>
      <c r="F5" s="199"/>
      <c r="G5" s="199"/>
      <c r="H5" s="200"/>
    </row>
    <row r="6" spans="1:9" ht="45" x14ac:dyDescent="0.25">
      <c r="A6" s="103" t="s">
        <v>121</v>
      </c>
      <c r="B6" s="104" t="str">
        <f>ULTIMO_SALDO</f>
        <v>Saldo al 31 de diciembre de 2021 (d)</v>
      </c>
      <c r="C6" s="103" t="s">
        <v>122</v>
      </c>
      <c r="D6" s="103" t="s">
        <v>123</v>
      </c>
      <c r="E6" s="103" t="s">
        <v>124</v>
      </c>
      <c r="F6" s="103" t="s">
        <v>138</v>
      </c>
      <c r="G6" s="103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5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-2000000</v>
      </c>
      <c r="E8" s="61">
        <f t="shared" si="0"/>
        <v>0</v>
      </c>
      <c r="F8" s="61">
        <f t="shared" si="0"/>
        <v>2000000</v>
      </c>
      <c r="G8" s="61">
        <f t="shared" si="0"/>
        <v>-25480</v>
      </c>
      <c r="H8" s="61">
        <f t="shared" si="0"/>
        <v>0</v>
      </c>
    </row>
    <row r="9" spans="1:9" ht="14.25" customHeight="1" x14ac:dyDescent="0.25">
      <c r="A9" s="106" t="s">
        <v>128</v>
      </c>
      <c r="B9" s="156">
        <f>SUM(B10:B12)</f>
        <v>0</v>
      </c>
      <c r="C9" s="60">
        <f t="shared" ref="C9:H9" si="1">SUM(C10:C12)</f>
        <v>0</v>
      </c>
      <c r="D9" s="174">
        <v>-2000000</v>
      </c>
      <c r="E9" s="175"/>
      <c r="F9" s="174">
        <f>B9+C9-D9+E9</f>
        <v>2000000</v>
      </c>
      <c r="G9" s="174">
        <v>-25480</v>
      </c>
      <c r="H9" s="60">
        <f t="shared" si="1"/>
        <v>0</v>
      </c>
    </row>
    <row r="10" spans="1:9" x14ac:dyDescent="0.25">
      <c r="A10" s="107" t="s">
        <v>129</v>
      </c>
      <c r="B10" s="156">
        <v>0</v>
      </c>
      <c r="C10" s="60">
        <v>0</v>
      </c>
      <c r="D10" s="174">
        <v>-2000000</v>
      </c>
      <c r="E10" s="175"/>
      <c r="F10" s="174">
        <v>0</v>
      </c>
      <c r="G10" s="174">
        <v>-25480</v>
      </c>
      <c r="H10" s="60">
        <v>0</v>
      </c>
    </row>
    <row r="11" spans="1:9" x14ac:dyDescent="0.25">
      <c r="A11" s="107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x14ac:dyDescent="0.25">
      <c r="A12" s="107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x14ac:dyDescent="0.25">
      <c r="A13" s="106" t="s">
        <v>132</v>
      </c>
      <c r="B13" s="60"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7" t="s">
        <v>133</v>
      </c>
      <c r="B14" s="145">
        <v>0</v>
      </c>
      <c r="C14" s="60">
        <v>0</v>
      </c>
      <c r="D14" s="60">
        <v>0</v>
      </c>
      <c r="E14" s="60">
        <v>0</v>
      </c>
      <c r="F14" s="146">
        <v>0</v>
      </c>
      <c r="G14" s="60">
        <v>0</v>
      </c>
      <c r="H14" s="60">
        <v>0</v>
      </c>
    </row>
    <row r="15" spans="1:9" x14ac:dyDescent="0.25">
      <c r="A15" s="107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x14ac:dyDescent="0.25">
      <c r="A16" s="107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x14ac:dyDescent="0.25">
      <c r="A18" s="105" t="s">
        <v>136</v>
      </c>
      <c r="B18" s="61">
        <v>1</v>
      </c>
      <c r="C18" s="128"/>
      <c r="D18" s="128"/>
      <c r="E18" s="128"/>
      <c r="F18" s="61">
        <v>0</v>
      </c>
      <c r="G18" s="128"/>
      <c r="H18" s="128"/>
    </row>
    <row r="19" spans="1:8" x14ac:dyDescent="0.25">
      <c r="A19" s="86"/>
      <c r="B19" s="5"/>
      <c r="C19" s="5"/>
      <c r="D19" s="5"/>
      <c r="E19" s="5"/>
      <c r="F19" s="5"/>
      <c r="G19" s="5"/>
      <c r="H19" s="5"/>
    </row>
    <row r="20" spans="1:8" x14ac:dyDescent="0.25">
      <c r="A20" s="105" t="s">
        <v>137</v>
      </c>
      <c r="B20" s="61">
        <f>B8+B18</f>
        <v>1</v>
      </c>
      <c r="C20" s="61">
        <f t="shared" ref="C20:H20" si="3">C8+C18</f>
        <v>0</v>
      </c>
      <c r="D20" s="61">
        <f t="shared" si="3"/>
        <v>-2000000</v>
      </c>
      <c r="E20" s="61">
        <f t="shared" si="3"/>
        <v>0</v>
      </c>
      <c r="F20" s="61">
        <f t="shared" si="3"/>
        <v>2000000</v>
      </c>
      <c r="G20" s="61">
        <f t="shared" si="3"/>
        <v>-25480</v>
      </c>
      <c r="H20" s="61">
        <f t="shared" si="3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5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x14ac:dyDescent="0.25">
      <c r="A23" s="108" t="s">
        <v>442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x14ac:dyDescent="0.25">
      <c r="A24" s="108" t="s">
        <v>443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25">
      <c r="A25" s="108" t="s">
        <v>444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25">
      <c r="A26" s="75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5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8" t="s">
        <v>445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25">
      <c r="A29" s="108" t="s">
        <v>446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25">
      <c r="A30" s="108" t="s">
        <v>447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25">
      <c r="A31" s="109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89"/>
    </row>
    <row r="33" spans="1:8" ht="12" customHeight="1" x14ac:dyDescent="0.25">
      <c r="A33" s="202" t="s">
        <v>3300</v>
      </c>
      <c r="B33" s="202"/>
      <c r="C33" s="202"/>
      <c r="D33" s="202"/>
      <c r="E33" s="202"/>
      <c r="F33" s="202"/>
      <c r="G33" s="202"/>
      <c r="H33" s="202"/>
    </row>
    <row r="34" spans="1:8" ht="12" customHeight="1" x14ac:dyDescent="0.25">
      <c r="A34" s="202"/>
      <c r="B34" s="202"/>
      <c r="C34" s="202"/>
      <c r="D34" s="202"/>
      <c r="E34" s="202"/>
      <c r="F34" s="202"/>
      <c r="G34" s="202"/>
      <c r="H34" s="202"/>
    </row>
    <row r="35" spans="1:8" ht="12" customHeight="1" x14ac:dyDescent="0.25">
      <c r="A35" s="202"/>
      <c r="B35" s="202"/>
      <c r="C35" s="202"/>
      <c r="D35" s="202"/>
      <c r="E35" s="202"/>
      <c r="F35" s="202"/>
      <c r="G35" s="202"/>
      <c r="H35" s="202"/>
    </row>
    <row r="36" spans="1:8" ht="12" customHeight="1" x14ac:dyDescent="0.25">
      <c r="A36" s="202"/>
      <c r="B36" s="202"/>
      <c r="C36" s="202"/>
      <c r="D36" s="202"/>
      <c r="E36" s="202"/>
      <c r="F36" s="202"/>
      <c r="G36" s="202"/>
      <c r="H36" s="202"/>
    </row>
    <row r="37" spans="1:8" ht="12" customHeight="1" x14ac:dyDescent="0.25">
      <c r="A37" s="202"/>
      <c r="B37" s="202"/>
      <c r="C37" s="202"/>
      <c r="D37" s="202"/>
      <c r="E37" s="202"/>
      <c r="F37" s="202"/>
      <c r="G37" s="202"/>
      <c r="H37" s="202"/>
    </row>
    <row r="38" spans="1:8" x14ac:dyDescent="0.25">
      <c r="A38" s="89"/>
    </row>
    <row r="39" spans="1:8" ht="30" x14ac:dyDescent="0.25">
      <c r="A39" s="103" t="s">
        <v>139</v>
      </c>
      <c r="B39" s="103" t="s">
        <v>142</v>
      </c>
      <c r="C39" s="103" t="s">
        <v>143</v>
      </c>
      <c r="D39" s="103" t="s">
        <v>144</v>
      </c>
      <c r="E39" s="103" t="s">
        <v>140</v>
      </c>
      <c r="F39" s="45" t="s">
        <v>145</v>
      </c>
    </row>
    <row r="40" spans="1:8" x14ac:dyDescent="0.25">
      <c r="A40" s="86"/>
      <c r="B40" s="5"/>
      <c r="C40" s="5"/>
      <c r="D40" s="5"/>
      <c r="E40" s="5"/>
      <c r="F40" s="5"/>
    </row>
    <row r="41" spans="1:8" x14ac:dyDescent="0.25">
      <c r="A41" s="105" t="s">
        <v>141</v>
      </c>
      <c r="B41" s="61">
        <f>SUM(B42:OB_CORTO_PLAZO_FIN_01)</f>
        <v>3</v>
      </c>
      <c r="C41" s="61">
        <f>SUM(C42:OB_CORTO_PLAZO_FIN_02)</f>
        <v>3</v>
      </c>
      <c r="D41" s="61">
        <f>SUM(D42:OB_CORTO_PLAZO_FIN_03)</f>
        <v>3</v>
      </c>
      <c r="E41" s="61">
        <f>SUM(E42:OB_CORTO_PLAZO_FIN_04)</f>
        <v>3</v>
      </c>
      <c r="F41" s="61">
        <f>SUM(F42:OB_CORTO_PLAZO_FIN_05)</f>
        <v>3</v>
      </c>
    </row>
    <row r="42" spans="1:8" s="24" customFormat="1" x14ac:dyDescent="0.25">
      <c r="A42" s="108" t="s">
        <v>448</v>
      </c>
      <c r="B42" s="60">
        <v>1</v>
      </c>
      <c r="C42" s="60">
        <v>1</v>
      </c>
      <c r="D42" s="60">
        <v>1</v>
      </c>
      <c r="E42" s="60">
        <v>1</v>
      </c>
      <c r="F42" s="60">
        <v>1</v>
      </c>
    </row>
    <row r="43" spans="1:8" s="24" customFormat="1" x14ac:dyDescent="0.25">
      <c r="A43" s="108" t="s">
        <v>449</v>
      </c>
      <c r="B43" s="60">
        <v>1</v>
      </c>
      <c r="C43" s="60">
        <v>1</v>
      </c>
      <c r="D43" s="60">
        <v>1</v>
      </c>
      <c r="E43" s="60">
        <v>1</v>
      </c>
      <c r="F43" s="60">
        <v>1</v>
      </c>
    </row>
    <row r="44" spans="1:8" s="24" customFormat="1" x14ac:dyDescent="0.25">
      <c r="A44" s="108" t="s">
        <v>450</v>
      </c>
      <c r="B44" s="60">
        <v>1</v>
      </c>
      <c r="C44" s="60">
        <v>1</v>
      </c>
      <c r="D44" s="60">
        <v>1</v>
      </c>
      <c r="E44" s="60">
        <v>1</v>
      </c>
      <c r="F44" s="60">
        <v>1</v>
      </c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-2000000</v>
      </c>
      <c r="S3" s="18">
        <f>'Formato 2'!E8</f>
        <v>0</v>
      </c>
      <c r="T3" s="18">
        <f>'Formato 2'!F8</f>
        <v>2000000</v>
      </c>
      <c r="U3" s="18">
        <f>'Formato 2'!G8</f>
        <v>-25480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-2000000</v>
      </c>
      <c r="S4" s="18">
        <f>'Formato 2'!E9</f>
        <v>0</v>
      </c>
      <c r="T4" s="18">
        <f>'Formato 2'!F9</f>
        <v>2000000</v>
      </c>
      <c r="U4" s="18">
        <f>'Formato 2'!G9</f>
        <v>-25480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-2000000</v>
      </c>
      <c r="S5" s="18">
        <f>'Formato 2'!E10</f>
        <v>0</v>
      </c>
      <c r="T5" s="18">
        <f>'Formato 2'!F10</f>
        <v>0</v>
      </c>
      <c r="U5" s="18">
        <f>'Formato 2'!G10</f>
        <v>-25480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1</v>
      </c>
      <c r="Q12" s="18"/>
      <c r="R12" s="18"/>
      <c r="S12" s="18"/>
      <c r="T12" s="18">
        <f>'Formato 2'!F18</f>
        <v>0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</v>
      </c>
      <c r="Q13" s="18">
        <f>'Formato 2'!C20</f>
        <v>0</v>
      </c>
      <c r="R13" s="18">
        <f>'Formato 2'!D20</f>
        <v>-2000000</v>
      </c>
      <c r="S13" s="18">
        <f>'Formato 2'!E20</f>
        <v>0</v>
      </c>
      <c r="T13" s="18">
        <f>'Formato 2'!F20</f>
        <v>2000000</v>
      </c>
      <c r="U13" s="18">
        <f>'Formato 2'!G20</f>
        <v>-25480</v>
      </c>
      <c r="V13" s="18">
        <f>'Formato 2'!H20</f>
        <v>0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3</v>
      </c>
      <c r="Q17">
        <f>OB_CORTO_PLAZO_T2</f>
        <v>3</v>
      </c>
      <c r="R17">
        <f>OB_CORTO_PLAZO_T3</f>
        <v>3</v>
      </c>
      <c r="S17">
        <f>OB_CORTO_PLAZO_T4</f>
        <v>3</v>
      </c>
      <c r="T17">
        <f>OB_CORTO_PLAZO_T5</f>
        <v>3</v>
      </c>
    </row>
    <row r="18" spans="1:20" ht="14.25" x14ac:dyDescent="0.45">
      <c r="A18" s="3"/>
    </row>
    <row r="19" spans="1:20" x14ac:dyDescent="0.2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activeCell="I12" sqref="I12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0" customFormat="1" ht="37.5" customHeight="1" x14ac:dyDescent="0.25">
      <c r="A1" s="201" t="s">
        <v>543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110"/>
    </row>
    <row r="2" spans="1:12" ht="14.25" x14ac:dyDescent="0.45">
      <c r="A2" s="189" t="str">
        <f>ENTE_PUBLICO_A</f>
        <v>Municipio de Tierra Blanca Guanajuato, Gobierno del Estado de Guanajuato (a)</v>
      </c>
      <c r="B2" s="190"/>
      <c r="C2" s="190"/>
      <c r="D2" s="190"/>
      <c r="E2" s="190"/>
      <c r="F2" s="190"/>
      <c r="G2" s="190"/>
      <c r="H2" s="190"/>
      <c r="I2" s="190"/>
      <c r="J2" s="190"/>
      <c r="K2" s="191"/>
    </row>
    <row r="3" spans="1:12" x14ac:dyDescent="0.25">
      <c r="A3" s="192" t="s">
        <v>146</v>
      </c>
      <c r="B3" s="193"/>
      <c r="C3" s="193"/>
      <c r="D3" s="193"/>
      <c r="E3" s="193"/>
      <c r="F3" s="193"/>
      <c r="G3" s="193"/>
      <c r="H3" s="193"/>
      <c r="I3" s="193"/>
      <c r="J3" s="193"/>
      <c r="K3" s="194"/>
    </row>
    <row r="4" spans="1:12" ht="14.25" x14ac:dyDescent="0.45">
      <c r="A4" s="195" t="str">
        <f>TRIMESTRE</f>
        <v>Del 1 de enero al 30 de septiembre de 2022 (b)</v>
      </c>
      <c r="B4" s="196"/>
      <c r="C4" s="196"/>
      <c r="D4" s="196"/>
      <c r="E4" s="196"/>
      <c r="F4" s="196"/>
      <c r="G4" s="196"/>
      <c r="H4" s="196"/>
      <c r="I4" s="196"/>
      <c r="J4" s="196"/>
      <c r="K4" s="197"/>
    </row>
    <row r="5" spans="1:12" ht="14.25" x14ac:dyDescent="0.45">
      <c r="A5" s="192" t="s">
        <v>118</v>
      </c>
      <c r="B5" s="193"/>
      <c r="C5" s="193"/>
      <c r="D5" s="193"/>
      <c r="E5" s="193"/>
      <c r="F5" s="193"/>
      <c r="G5" s="193"/>
      <c r="H5" s="193"/>
      <c r="I5" s="193"/>
      <c r="J5" s="193"/>
      <c r="K5" s="194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27" t="str">
        <f>MONTO1</f>
        <v>Monto pagado de la inversión al 30 de septiembre de 2022 (k)</v>
      </c>
      <c r="J6" s="127" t="str">
        <f>MONTO2</f>
        <v>Monto pagado de la inversión actualizado al 30 de septiembre de 2022 (l)</v>
      </c>
      <c r="K6" s="127" t="str">
        <f>SALDO_PENDIENTE</f>
        <v>Saldo pendiente por pagar de la inversión al 30 de septiembre de 2022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5"/>
      <c r="C8" s="125"/>
      <c r="D8" s="125"/>
      <c r="E8" s="61">
        <f>SUM(E9:APP_FIN_04)</f>
        <v>0</v>
      </c>
      <c r="F8" s="125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ht="14.25" x14ac:dyDescent="0.45">
      <c r="A9" s="113" t="s">
        <v>156</v>
      </c>
      <c r="B9" s="111"/>
      <c r="C9" s="111"/>
      <c r="D9" s="111"/>
      <c r="E9" s="60">
        <v>0</v>
      </c>
      <c r="F9" s="60"/>
      <c r="G9" s="60">
        <v>0</v>
      </c>
      <c r="H9" s="60">
        <v>0</v>
      </c>
      <c r="I9" s="60">
        <v>0</v>
      </c>
      <c r="J9" s="60">
        <v>0</v>
      </c>
      <c r="K9" s="60">
        <f>E9-J9</f>
        <v>0</v>
      </c>
    </row>
    <row r="10" spans="1:12" s="24" customFormat="1" ht="14.25" x14ac:dyDescent="0.45">
      <c r="A10" s="113" t="s">
        <v>157</v>
      </c>
      <c r="B10" s="111"/>
      <c r="C10" s="111"/>
      <c r="D10" s="111"/>
      <c r="E10" s="60">
        <v>0</v>
      </c>
      <c r="F10" s="60"/>
      <c r="G10" s="60">
        <v>0</v>
      </c>
      <c r="H10" s="60">
        <v>0</v>
      </c>
      <c r="I10" s="60">
        <v>0</v>
      </c>
      <c r="J10" s="60">
        <v>0</v>
      </c>
      <c r="K10" s="60">
        <f t="shared" ref="K10:K12" si="0">E10-J10</f>
        <v>0</v>
      </c>
    </row>
    <row r="11" spans="1:12" s="24" customFormat="1" ht="14.25" x14ac:dyDescent="0.45">
      <c r="A11" s="113" t="s">
        <v>158</v>
      </c>
      <c r="B11" s="111"/>
      <c r="C11" s="111"/>
      <c r="D11" s="111"/>
      <c r="E11" s="60">
        <v>0</v>
      </c>
      <c r="F11" s="60"/>
      <c r="G11" s="60">
        <v>0</v>
      </c>
      <c r="H11" s="60">
        <v>0</v>
      </c>
      <c r="I11" s="60">
        <v>0</v>
      </c>
      <c r="J11" s="60">
        <v>0</v>
      </c>
      <c r="K11" s="60">
        <f t="shared" si="0"/>
        <v>0</v>
      </c>
    </row>
    <row r="12" spans="1:12" s="24" customFormat="1" ht="14.25" x14ac:dyDescent="0.45">
      <c r="A12" s="113" t="s">
        <v>159</v>
      </c>
      <c r="B12" s="111"/>
      <c r="C12" s="111"/>
      <c r="D12" s="111"/>
      <c r="E12" s="60">
        <v>0</v>
      </c>
      <c r="F12" s="60"/>
      <c r="G12" s="60">
        <v>0</v>
      </c>
      <c r="H12" s="60">
        <v>0</v>
      </c>
      <c r="I12" s="60">
        <v>0</v>
      </c>
      <c r="J12" s="60">
        <v>0</v>
      </c>
      <c r="K12" s="60">
        <f t="shared" si="0"/>
        <v>0</v>
      </c>
    </row>
    <row r="13" spans="1:12" ht="14.25" x14ac:dyDescent="0.45">
      <c r="A13" s="114" t="s">
        <v>686</v>
      </c>
      <c r="B13" s="112"/>
      <c r="C13" s="112"/>
      <c r="D13" s="112"/>
      <c r="E13" s="54"/>
      <c r="F13" s="54"/>
      <c r="G13" s="54"/>
      <c r="H13" s="54"/>
      <c r="I13" s="54"/>
      <c r="J13" s="54"/>
      <c r="K13" s="54"/>
    </row>
    <row r="14" spans="1:12" ht="14.25" x14ac:dyDescent="0.45">
      <c r="A14" s="38" t="s">
        <v>160</v>
      </c>
      <c r="B14" s="125"/>
      <c r="C14" s="125"/>
      <c r="D14" s="125"/>
      <c r="E14" s="61">
        <f>SUM(E15:OTROS_FIN_04)</f>
        <v>0</v>
      </c>
      <c r="F14" s="125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3" t="s">
        <v>161</v>
      </c>
      <c r="B15" s="111"/>
      <c r="C15" s="111"/>
      <c r="D15" s="111"/>
      <c r="E15" s="60">
        <v>0</v>
      </c>
      <c r="F15" s="60"/>
      <c r="G15" s="60">
        <v>0</v>
      </c>
      <c r="H15" s="60">
        <v>0</v>
      </c>
      <c r="I15" s="60">
        <v>0</v>
      </c>
      <c r="J15" s="60">
        <v>0</v>
      </c>
      <c r="K15" s="60">
        <f>E15-J15</f>
        <v>0</v>
      </c>
    </row>
    <row r="16" spans="1:12" s="24" customFormat="1" x14ac:dyDescent="0.25">
      <c r="A16" s="113" t="s">
        <v>162</v>
      </c>
      <c r="B16" s="111"/>
      <c r="C16" s="111"/>
      <c r="D16" s="111"/>
      <c r="E16" s="60">
        <v>0</v>
      </c>
      <c r="F16" s="60"/>
      <c r="G16" s="60">
        <v>0</v>
      </c>
      <c r="H16" s="60">
        <v>0</v>
      </c>
      <c r="I16" s="60">
        <v>0</v>
      </c>
      <c r="J16" s="60">
        <v>0</v>
      </c>
      <c r="K16" s="60">
        <f t="shared" ref="K16:K18" si="1">E16-J16</f>
        <v>0</v>
      </c>
    </row>
    <row r="17" spans="1:11" s="24" customFormat="1" x14ac:dyDescent="0.25">
      <c r="A17" s="113" t="s">
        <v>163</v>
      </c>
      <c r="B17" s="111"/>
      <c r="C17" s="111"/>
      <c r="D17" s="111"/>
      <c r="E17" s="60">
        <v>0</v>
      </c>
      <c r="F17" s="60"/>
      <c r="G17" s="60">
        <v>0</v>
      </c>
      <c r="H17" s="60">
        <v>0</v>
      </c>
      <c r="I17" s="60">
        <v>0</v>
      </c>
      <c r="J17" s="60">
        <v>0</v>
      </c>
      <c r="K17" s="60">
        <f t="shared" si="1"/>
        <v>0</v>
      </c>
    </row>
    <row r="18" spans="1:11" s="24" customFormat="1" x14ac:dyDescent="0.25">
      <c r="A18" s="113" t="s">
        <v>164</v>
      </c>
      <c r="B18" s="111"/>
      <c r="C18" s="111"/>
      <c r="D18" s="111"/>
      <c r="E18" s="60">
        <v>0</v>
      </c>
      <c r="F18" s="60"/>
      <c r="G18" s="60">
        <v>0</v>
      </c>
      <c r="H18" s="60">
        <v>0</v>
      </c>
      <c r="I18" s="60">
        <v>0</v>
      </c>
      <c r="J18" s="60">
        <v>0</v>
      </c>
      <c r="K18" s="60">
        <f t="shared" si="1"/>
        <v>0</v>
      </c>
    </row>
    <row r="19" spans="1:11" x14ac:dyDescent="0.25">
      <c r="A19" s="114" t="s">
        <v>686</v>
      </c>
      <c r="B19" s="112"/>
      <c r="C19" s="112"/>
      <c r="D19" s="112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5"/>
      <c r="C20" s="125"/>
      <c r="D20" s="125"/>
      <c r="E20" s="61">
        <f>APP_T4+OTROS_T4</f>
        <v>0</v>
      </c>
      <c r="F20" s="125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DELL</cp:lastModifiedBy>
  <cp:lastPrinted>2017-02-04T00:56:20Z</cp:lastPrinted>
  <dcterms:created xsi:type="dcterms:W3CDTF">2017-01-19T17:59:06Z</dcterms:created>
  <dcterms:modified xsi:type="dcterms:W3CDTF">2022-10-30T18:00:03Z</dcterms:modified>
</cp:coreProperties>
</file>