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365" firstSheet="13" activeTab="1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9" l="1"/>
  <c r="D10" i="9"/>
  <c r="D26" i="8"/>
  <c r="D25" i="8"/>
  <c r="D24" i="8"/>
  <c r="D23" i="8"/>
  <c r="D22" i="8"/>
  <c r="D21" i="8"/>
  <c r="D20" i="8"/>
  <c r="F19" i="8"/>
  <c r="F9" i="8"/>
  <c r="F77" i="8"/>
  <c r="E19" i="8"/>
  <c r="E9" i="8"/>
  <c r="E77" i="8"/>
  <c r="D19" i="8"/>
  <c r="D9" i="8"/>
  <c r="D77" i="8"/>
  <c r="C19" i="8"/>
  <c r="C9" i="8"/>
  <c r="C77" i="8"/>
  <c r="B19" i="8"/>
  <c r="B9" i="8"/>
  <c r="B77" i="8"/>
  <c r="B43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34" i="8"/>
  <c r="D18" i="8"/>
  <c r="D17" i="8"/>
  <c r="D16" i="8"/>
  <c r="D15" i="8"/>
  <c r="D14" i="8"/>
  <c r="D13" i="8"/>
  <c r="D12" i="8"/>
  <c r="D11" i="8"/>
  <c r="D20" i="7"/>
  <c r="D11" i="7"/>
  <c r="D10" i="7"/>
  <c r="D149" i="6"/>
  <c r="D145" i="6"/>
  <c r="D13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77" i="6"/>
  <c r="D76" i="6"/>
  <c r="D74" i="6"/>
  <c r="D61" i="6"/>
  <c r="D60" i="6"/>
  <c r="D59" i="6"/>
  <c r="D57" i="6"/>
  <c r="D56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7" i="6"/>
  <c r="D16" i="6"/>
  <c r="D15" i="6"/>
  <c r="D14" i="6"/>
  <c r="D13" i="6"/>
  <c r="D12" i="6"/>
  <c r="D11" i="6"/>
  <c r="D58" i="5"/>
  <c r="D49" i="5"/>
  <c r="D48" i="5"/>
  <c r="D47" i="5"/>
  <c r="D46" i="5"/>
  <c r="D36" i="5"/>
  <c r="E16" i="5"/>
  <c r="D17" i="5"/>
  <c r="G17" i="5"/>
  <c r="G14" i="5"/>
  <c r="D14" i="5"/>
  <c r="G13" i="5"/>
  <c r="D13" i="5"/>
  <c r="G12" i="5"/>
  <c r="D12" i="5"/>
  <c r="G11" i="5"/>
  <c r="D11" i="5"/>
  <c r="G10" i="5"/>
  <c r="D10" i="5"/>
  <c r="G9" i="5"/>
  <c r="D9" i="5"/>
  <c r="F14" i="2"/>
  <c r="E19" i="1"/>
  <c r="F19" i="1"/>
  <c r="E23" i="1"/>
  <c r="F23" i="1"/>
  <c r="E27" i="1"/>
  <c r="F27" i="1"/>
  <c r="C47" i="1"/>
  <c r="B47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G63" i="6"/>
  <c r="G64" i="6"/>
  <c r="G65" i="6"/>
  <c r="G66" i="6"/>
  <c r="G67" i="6"/>
  <c r="G69" i="6"/>
  <c r="G70" i="6"/>
  <c r="G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15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/>
  <c r="D9" i="9"/>
  <c r="R2" i="27"/>
  <c r="E9" i="9"/>
  <c r="S2" i="27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13" i="27"/>
  <c r="D21" i="9"/>
  <c r="R13" i="27"/>
  <c r="E21" i="9"/>
  <c r="S13" i="27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P5" i="27"/>
  <c r="P6" i="27"/>
  <c r="P7" i="27"/>
  <c r="P8" i="27"/>
  <c r="P9" i="27"/>
  <c r="P10" i="27"/>
  <c r="P11" i="27"/>
  <c r="P12" i="27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27" i="8"/>
  <c r="C37" i="8"/>
  <c r="Q2" i="26"/>
  <c r="D10" i="8"/>
  <c r="D27" i="8"/>
  <c r="D37" i="8"/>
  <c r="R2" i="26"/>
  <c r="E10" i="8"/>
  <c r="E27" i="8"/>
  <c r="E37" i="8"/>
  <c r="S2" i="26"/>
  <c r="F10" i="8"/>
  <c r="F27" i="8"/>
  <c r="F37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Q68" i="26"/>
  <c r="R68" i="26"/>
  <c r="S68" i="26"/>
  <c r="T68" i="26"/>
  <c r="G77" i="8"/>
  <c r="U68" i="26"/>
  <c r="B44" i="8"/>
  <c r="B53" i="8"/>
  <c r="B61" i="8"/>
  <c r="B71" i="8"/>
  <c r="B10" i="8"/>
  <c r="B27" i="8"/>
  <c r="B3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9" i="7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7" i="5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9" i="3"/>
  <c r="K10" i="3"/>
  <c r="K11" i="3"/>
  <c r="K12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11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D11" i="4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<sst xmlns="http://schemas.openxmlformats.org/spreadsheetml/2006/main" count="4243" uniqueCount="3305">
  <si>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</si>
  <si>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</si>
  <si>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</si>
  <si>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</si>
  <si>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</si>
  <si>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</si>
  <si>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</si>
  <si>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</si>
  <si>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</si>
  <si>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</si>
  <si>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</si>
  <si>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</si>
  <si>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</si>
  <si>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</si>
  <si>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</si>
  <si>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</si>
  <si>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</si>
  <si>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</si>
  <si>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</si>
  <si>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</si>
  <si>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</si>
  <si>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</si>
  <si>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</si>
  <si>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</si>
  <si>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</si>
  <si>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</si>
  <si>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</si>
  <si>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</si>
  <si>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</si>
  <si>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</si>
  <si>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</si>
  <si>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</si>
  <si>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</si>
  <si>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</si>
  <si>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</si>
  <si>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</si>
  <si>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</si>
  <si>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</si>
  <si>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</si>
  <si>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</si>
  <si>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</si>
  <si>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</si>
  <si>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</si>
  <si>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</si>
  <si>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</si>
  <si>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</si>
  <si>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</si>
  <si>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</si>
  <si>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</si>
  <si>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</si>
  <si>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</si>
  <si>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</si>
  <si>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</si>
  <si>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</si>
  <si>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</si>
  <si>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</si>
  <si>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</si>
  <si>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</si>
  <si>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</si>
  <si>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</si>
  <si>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</si>
  <si>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</si>
  <si>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</si>
  <si>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</si>
  <si>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</si>
  <si>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</si>
  <si>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</si>
  <si>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</si>
  <si>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</si>
  <si>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</si>
  <si>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</si>
  <si>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</si>
  <si>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</si>
  <si>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</si>
  <si>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</si>
  <si>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</si>
  <si>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</si>
  <si>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</si>
  <si>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</si>
  <si>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</si>
  <si>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</si>
  <si>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</si>
  <si>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</si>
  <si>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</si>
  <si>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</si>
  <si>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</si>
  <si>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</si>
  <si>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</si>
  <si>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</si>
  <si>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</si>
  <si>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</si>
  <si>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</si>
  <si>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</si>
  <si>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</si>
  <si>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</si>
  <si>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</si>
  <si>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</si>
  <si>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</si>
  <si>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</si>
  <si>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</si>
  <si>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</si>
  <si>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</si>
  <si>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</si>
  <si>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</si>
  <si>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</si>
  <si>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</si>
  <si>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</si>
  <si>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</si>
  <si>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</si>
  <si>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</si>
  <si>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</si>
  <si>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</si>
  <si>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</si>
  <si>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</si>
  <si>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</si>
  <si>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</si>
  <si>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</si>
  <si>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</si>
  <si>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</si>
  <si>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</si>
  <si>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</si>
  <si>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</si>
  <si>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</si>
  <si>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</si>
  <si>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</si>
  <si>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</si>
  <si>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</si>
  <si>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</si>
  <si>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</si>
  <si>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</si>
  <si>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</si>
  <si>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</si>
  <si>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</si>
  <si>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</si>
  <si>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</si>
  <si>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</si>
  <si>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</si>
  <si>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</si>
  <si>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</si>
  <si>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</si>
  <si>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</si>
  <si>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</si>
  <si>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</si>
  <si>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</si>
  <si>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</si>
  <si>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</si>
  <si>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</si>
  <si>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</si>
  <si>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</si>
  <si>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</si>
  <si>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</si>
  <si>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</si>
  <si>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</si>
  <si>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</si>
  <si>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</si>
  <si>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</si>
  <si>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</si>
  <si>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</si>
  <si>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</si>
  <si>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</si>
  <si>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</si>
  <si>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</si>
  <si>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</si>
  <si>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</si>
  <si>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</si>
  <si>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</si>
  <si>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</si>
  <si>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</si>
  <si>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</si>
  <si>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</si>
  <si>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</si>
  <si>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</si>
  <si>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</si>
  <si>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</si>
  <si>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</si>
  <si>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</si>
  <si>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</si>
  <si>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</si>
  <si>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</si>
  <si>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</si>
  <si>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</si>
  <si>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</si>
  <si>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</si>
  <si>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</si>
  <si>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</si>
  <si>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</si>
  <si>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</si>
  <si>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</si>
  <si>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</si>
  <si>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</si>
  <si>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</si>
  <si>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</si>
  <si>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</si>
  <si>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</si>
  <si>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</si>
  <si>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</si>
  <si>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</si>
  <si>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</si>
  <si>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</si>
  <si>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</si>
  <si>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</si>
  <si>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</si>
  <si>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</si>
  <si>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</si>
  <si>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</si>
  <si>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</si>
  <si>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</si>
  <si>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</si>
  <si>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</si>
  <si>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</si>
  <si>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</si>
  <si>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</si>
  <si>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</si>
  <si>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</si>
  <si>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</si>
  <si>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</si>
  <si>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</si>
  <si>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</si>
  <si>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</si>
  <si>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</si>
  <si>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</si>
  <si>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</si>
  <si>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</si>
  <si>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</si>
  <si>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</si>
  <si>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</si>
  <si>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</si>
  <si>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</si>
  <si>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</si>
  <si>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</si>
  <si>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</si>
  <si>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</si>
  <si>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</si>
  <si>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</si>
  <si>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</si>
  <si>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</si>
  <si>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</si>
  <si>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</si>
  <si>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</si>
  <si>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</si>
  <si>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</si>
  <si>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</si>
  <si>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</si>
  <si>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</si>
  <si>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</si>
  <si>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</si>
  <si>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</si>
  <si>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</si>
  <si>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</si>
  <si>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</si>
  <si>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</si>
  <si>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</si>
  <si>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</si>
  <si>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</si>
  <si>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</si>
  <si>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</si>
  <si>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</si>
  <si>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</si>
  <si>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</si>
  <si>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</si>
  <si>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</si>
  <si>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</si>
  <si>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</si>
  <si>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</si>
  <si>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</si>
  <si>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</si>
  <si>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</si>
  <si>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</si>
  <si>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</si>
  <si>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</si>
  <si>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</si>
  <si>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</si>
  <si>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</si>
  <si>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</si>
  <si>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</si>
  <si>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</si>
  <si>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</si>
  <si>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</si>
  <si>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</si>
  <si>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</si>
  <si>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</si>
  <si>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</si>
  <si>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</si>
  <si>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</si>
  <si>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</si>
  <si>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</si>
  <si>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</si>
  <si>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</si>
  <si>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</si>
  <si>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</si>
  <si>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</si>
  <si>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</si>
  <si>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</si>
  <si>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</si>
  <si>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</si>
  <si>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</si>
  <si>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</si>
  <si>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</si>
  <si>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</si>
  <si>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</si>
  <si>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</si>
  <si>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</si>
  <si>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</si>
  <si>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</si>
  <si>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</si>
  <si>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</si>
  <si>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</si>
  <si>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</si>
  <si>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</si>
  <si>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</si>
  <si>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</si>
  <si>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</si>
  <si>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</si>
  <si>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</si>
  <si>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</si>
  <si>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</si>
  <si>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</si>
  <si>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</si>
  <si>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</si>
  <si>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</si>
  <si>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</si>
  <si>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</si>
  <si>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</si>
  <si>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</si>
  <si>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</si>
  <si>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</si>
  <si>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</si>
  <si>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</si>
  <si>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</si>
  <si>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</si>
  <si>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</si>
  <si>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</si>
  <si>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</si>
  <si>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</si>
  <si>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</si>
  <si>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</si>
  <si>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</si>
  <si>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</si>
  <si>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</si>
  <si>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</si>
  <si>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</si>
  <si>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</si>
  <si>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</si>
  <si>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</si>
  <si>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</si>
  <si>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</si>
  <si>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</si>
  <si>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</si>
  <si>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</si>
  <si>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</si>
  <si>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</si>
  <si>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</si>
  <si>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</si>
  <si>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</si>
  <si>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</si>
  <si>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</si>
  <si>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</si>
  <si>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</si>
  <si>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</si>
  <si>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</si>
  <si>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</si>
  <si>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</si>
  <si>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</si>
  <si>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</si>
  <si>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</si>
  <si>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</si>
  <si>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</si>
  <si>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</si>
  <si>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</si>
  <si>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</si>
  <si>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</si>
  <si>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</si>
  <si>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</si>
  <si>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</si>
  <si>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</si>
  <si>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</si>
  <si>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</si>
  <si>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</si>
  <si>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</si>
  <si>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</si>
  <si>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</si>
  <si>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</si>
  <si>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</si>
  <si>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</si>
  <si>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</si>
  <si>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</si>
  <si>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</si>
  <si>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</si>
  <si>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</si>
  <si>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</si>
  <si>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</si>
  <si>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</si>
  <si>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</si>
  <si>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</si>
  <si>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</si>
  <si>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</si>
  <si>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</si>
  <si>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</si>
  <si>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</si>
  <si>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</si>
  <si>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</si>
  <si>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</si>
  <si>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</si>
  <si>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</si>
  <si>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</si>
  <si>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</si>
  <si>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</si>
  <si>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</si>
  <si>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</si>
  <si>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</si>
  <si>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</si>
  <si>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</si>
  <si>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</si>
  <si>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</si>
  <si>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</si>
  <si>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</si>
  <si>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</si>
  <si>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</si>
  <si>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</si>
  <si>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</si>
  <si>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</si>
  <si>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</si>
  <si>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</si>
  <si>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</si>
  <si>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</si>
  <si>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</si>
  <si>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</si>
  <si>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</si>
  <si>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</si>
  <si>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</si>
  <si>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</si>
  <si>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</si>
  <si>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</si>
  <si>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</si>
  <si>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</si>
  <si>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</si>
  <si>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</si>
  <si>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</si>
  <si>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</si>
  <si>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</si>
  <si>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</si>
  <si>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</si>
  <si>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</si>
  <si>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</si>
  <si>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</si>
  <si>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</si>
  <si>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</si>
  <si>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</si>
  <si>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</si>
  <si>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</si>
  <si>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</si>
  <si>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</si>
  <si>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</si>
  <si>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</si>
  <si>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</si>
  <si>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</si>
  <si>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</si>
  <si>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</si>
  <si>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</si>
  <si>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</si>
  <si>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</si>
  <si>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</si>
  <si>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</si>
  <si>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</si>
  <si>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</si>
  <si>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</si>
  <si>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</si>
  <si>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</si>
  <si>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</si>
  <si>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</si>
  <si>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</si>
  <si>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</si>
  <si>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</si>
  <si>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</si>
  <si>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</si>
  <si>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</si>
  <si>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</si>
  <si>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</si>
  <si>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</si>
  <si>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</si>
  <si>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</si>
  <si>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</si>
  <si>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</si>
  <si>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</si>
  <si>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</si>
  <si>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</si>
  <si>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</si>
  <si>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</si>
  <si>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</si>
  <si>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</si>
  <si>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</si>
  <si>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</si>
  <si>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</si>
  <si>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</si>
  <si>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</si>
  <si>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</si>
  <si>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</si>
  <si>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</si>
  <si>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</si>
  <si>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</si>
  <si>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</si>
  <si>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</si>
  <si>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</si>
  <si>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</si>
  <si>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</si>
  <si>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</si>
  <si>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</si>
  <si>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</si>
  <si>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</si>
  <si>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</si>
  <si>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</si>
  <si>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</si>
  <si>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</si>
  <si>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</si>
  <si>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</si>
  <si>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</si>
  <si>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</si>
  <si>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</si>
  <si>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</si>
  <si>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</si>
  <si>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</si>
  <si>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</si>
  <si>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</si>
  <si>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</si>
  <si>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</si>
  <si>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</si>
  <si>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</si>
  <si>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</si>
  <si>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</si>
  <si>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</si>
  <si>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</si>
  <si>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</si>
  <si>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</si>
  <si>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</si>
  <si>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</si>
  <si>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</si>
  <si>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</si>
  <si>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</si>
  <si>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</si>
  <si>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</si>
  <si>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</si>
  <si>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</si>
  <si>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</si>
  <si>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</si>
  <si>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</si>
  <si>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</si>
  <si>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</si>
  <si>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</si>
  <si>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</si>
  <si>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</si>
  <si>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</si>
  <si>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</si>
  <si>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</si>
  <si>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</si>
  <si>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</si>
  <si>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</si>
  <si>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</si>
  <si>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</si>
  <si>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</si>
  <si>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</si>
  <si>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</si>
  <si>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</si>
  <si>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</si>
  <si>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</si>
  <si>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</si>
  <si>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</si>
  <si>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</si>
  <si>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</si>
  <si>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</si>
  <si>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</si>
  <si>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</si>
  <si>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</si>
  <si>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</si>
  <si>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</si>
  <si>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</si>
  <si>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</si>
  <si>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</si>
  <si>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</si>
  <si>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</si>
  <si>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</si>
  <si>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</si>
  <si>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</si>
  <si>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</si>
  <si>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</si>
  <si>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</si>
  <si>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</si>
  <si>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</si>
  <si>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</si>
  <si>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</si>
  <si>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</si>
  <si>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</si>
  <si>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</si>
  <si>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</si>
  <si>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</si>
  <si>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</si>
  <si>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</si>
  <si>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</si>
  <si>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</si>
  <si>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</si>
  <si>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</si>
  <si>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</si>
  <si>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</si>
  <si>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</si>
  <si>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</si>
  <si>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</si>
  <si>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</si>
  <si>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</si>
  <si>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</si>
  <si>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</si>
  <si>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</si>
  <si>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</si>
  <si>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</si>
  <si>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</si>
  <si>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</si>
  <si>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</si>
  <si>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</si>
  <si>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</si>
  <si>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</si>
  <si>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</si>
  <si>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</si>
  <si>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</si>
  <si>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</si>
  <si>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</si>
  <si>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</si>
  <si>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</si>
  <si>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</si>
  <si>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</si>
  <si>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</si>
  <si>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</si>
  <si>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</si>
  <si>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</si>
  <si>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</si>
  <si>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</si>
  <si>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</si>
  <si>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</si>
  <si>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</si>
  <si>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</si>
  <si>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</si>
  <si>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</si>
  <si>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</si>
  <si>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</si>
  <si>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</si>
  <si>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</si>
  <si>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</si>
  <si>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</si>
  <si>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</si>
  <si>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</si>
  <si>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</si>
  <si>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</si>
  <si>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</si>
  <si>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</si>
  <si>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</si>
  <si>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</si>
  <si>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</si>
  <si>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</si>
  <si>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</si>
  <si>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</si>
  <si>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</si>
  <si>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</si>
  <si>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</si>
  <si>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</si>
  <si>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</si>
  <si>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</si>
  <si>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</si>
  <si>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</si>
  <si>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</si>
  <si>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</si>
  <si>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</si>
  <si>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</si>
  <si>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</si>
  <si>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</si>
  <si>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</si>
  <si>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</si>
  <si>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</si>
  <si>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</si>
  <si>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</si>
  <si>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</si>
  <si>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</si>
  <si>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</si>
  <si>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</si>
  <si>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</si>
  <si>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</si>
  <si>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</si>
  <si>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</si>
  <si>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</si>
  <si>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</si>
  <si>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</si>
  <si>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</si>
  <si>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</si>
  <si>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</si>
  <si>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</si>
  <si>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</si>
  <si>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</si>
  <si>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</si>
  <si>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</si>
  <si>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</si>
  <si>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</si>
  <si>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</si>
  <si>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</si>
  <si>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</si>
  <si>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</si>
  <si>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</si>
  <si>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</si>
  <si>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</si>
  <si>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</si>
  <si>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</si>
  <si>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</si>
  <si>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</si>
  <si>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</si>
  <si>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</si>
  <si>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</si>
  <si>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</si>
  <si>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</si>
  <si>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</si>
  <si>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</si>
  <si>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</si>
  <si>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</si>
  <si>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</si>
  <si>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</si>
  <si>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</si>
  <si>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</si>
  <si>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</si>
  <si>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</si>
  <si>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</si>
  <si>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</si>
  <si>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</si>
  <si>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</si>
  <si>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</si>
  <si>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</si>
  <si>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</si>
  <si>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</si>
  <si>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</si>
  <si>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</si>
  <si>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</si>
  <si>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</si>
  <si>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</si>
  <si>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</si>
  <si>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</si>
  <si>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</si>
  <si>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</si>
  <si>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</si>
  <si>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</si>
  <si>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</si>
  <si>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</si>
  <si>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</si>
  <si>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</si>
  <si>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</si>
  <si>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</si>
  <si>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</si>
  <si>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</si>
  <si>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</si>
  <si>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</si>
  <si>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</si>
  <si>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</si>
  <si>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</si>
  <si>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</si>
  <si>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</si>
  <si>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</si>
  <si>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</si>
  <si>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</si>
  <si>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</si>
  <si>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</si>
  <si>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</si>
  <si>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</si>
  <si>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</si>
  <si>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</si>
  <si>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</si>
  <si>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</si>
  <si>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</si>
  <si>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</si>
  <si>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</si>
  <si>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</si>
  <si>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</si>
  <si>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</si>
  <si>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</si>
  <si>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</si>
  <si>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</si>
  <si>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</si>
  <si>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</si>
  <si>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</si>
  <si>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</si>
  <si>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</si>
  <si>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</si>
  <si>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</si>
  <si>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</si>
  <si>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</si>
  <si>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</si>
  <si>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</si>
  <si>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</si>
  <si>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</si>
  <si>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</si>
  <si>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</si>
  <si>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</si>
  <si>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</si>
  <si>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</si>
  <si>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</si>
  <si>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</si>
  <si>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</si>
  <si>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</si>
  <si>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</si>
  <si>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</si>
  <si>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</si>
  <si>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</si>
  <si>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</si>
  <si>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</si>
  <si>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</si>
  <si>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</si>
  <si>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</si>
  <si>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</si>
  <si>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</si>
  <si>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</si>
  <si>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</si>
  <si>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</si>
  <si>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</si>
  <si>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</si>
  <si>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</si>
  <si>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</si>
  <si>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</si>
  <si>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</si>
  <si>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</si>
  <si>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</si>
  <si>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</si>
  <si>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</si>
  <si>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</si>
  <si>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</si>
  <si>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</si>
  <si>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</si>
  <si>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</si>
  <si>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</si>
  <si>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</si>
  <si>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</si>
  <si>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</si>
  <si>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</si>
  <si>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</si>
  <si>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</si>
  <si>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</si>
  <si>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</si>
  <si>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</si>
  <si>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</si>
  <si>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</si>
  <si>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</si>
  <si>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</si>
  <si>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</si>
  <si>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</si>
  <si>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</si>
  <si>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</si>
  <si>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</si>
  <si>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</si>
  <si>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</si>
  <si>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</si>
  <si>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</si>
  <si>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</si>
  <si>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</si>
  <si>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</si>
  <si>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</si>
  <si>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</si>
  <si>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</si>
  <si>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</si>
  <si>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</si>
  <si>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</si>
  <si>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</si>
  <si>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</si>
  <si>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</si>
  <si>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</si>
  <si>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</si>
  <si>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</si>
  <si>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</si>
  <si>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</si>
  <si>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</si>
  <si>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</si>
  <si>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</si>
  <si>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</si>
  <si>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</si>
  <si>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</si>
  <si>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</si>
  <si>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</si>
  <si>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</si>
  <si>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</si>
  <si>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</si>
  <si>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</si>
  <si>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</si>
  <si>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</si>
  <si>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</si>
  <si>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</si>
  <si>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</si>
  <si>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</si>
  <si>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</si>
  <si>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</si>
  <si>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</si>
  <si>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</si>
  <si>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</si>
  <si>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</si>
  <si>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</si>
  <si>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</si>
  <si>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</si>
  <si>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</si>
  <si>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</si>
  <si>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</si>
  <si>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</si>
  <si>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</si>
  <si>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</si>
  <si>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</si>
  <si>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</si>
  <si>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</si>
  <si>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</si>
  <si>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</si>
  <si>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</si>
  <si>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</si>
  <si>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</si>
  <si>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</si>
  <si>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</si>
  <si>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</si>
  <si>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</si>
  <si>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</si>
  <si>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</si>
  <si>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</si>
  <si>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</si>
  <si>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</si>
  <si>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</si>
  <si>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</si>
  <si>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</si>
  <si>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</si>
  <si>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</si>
  <si>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</si>
  <si>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</si>
  <si>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</si>
  <si>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</si>
  <si>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</si>
  <si>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</si>
  <si>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</si>
  <si>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</si>
  <si>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</si>
  <si>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</si>
  <si>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</si>
  <si>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</si>
  <si>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</si>
  <si>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</si>
  <si>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</si>
  <si>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</si>
  <si>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</si>
  <si>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</si>
  <si>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</si>
  <si>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</si>
  <si>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</si>
  <si>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</si>
  <si>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</si>
  <si>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</si>
  <si>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</si>
  <si>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</si>
  <si>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</si>
  <si>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</si>
  <si>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</si>
  <si>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</si>
  <si>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</si>
  <si>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</si>
  <si>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</si>
  <si>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</si>
  <si>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</si>
  <si>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</si>
  <si>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</si>
  <si>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</si>
  <si>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</si>
  <si>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</si>
  <si>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</si>
  <si>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</si>
  <si>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</si>
  <si>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</si>
  <si>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</si>
  <si>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</si>
  <si>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</si>
  <si>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</si>
  <si>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</si>
  <si>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</si>
  <si>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</si>
  <si>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</si>
  <si>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</si>
  <si>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</si>
  <si>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</si>
  <si>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</si>
  <si>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</si>
  <si>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</si>
  <si>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</si>
  <si>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</si>
  <si>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</si>
  <si>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</si>
  <si>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</si>
  <si>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</si>
  <si>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</si>
  <si>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</si>
  <si>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</si>
  <si>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</si>
  <si>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</si>
  <si>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</si>
  <si>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</si>
  <si>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</si>
  <si>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</si>
  <si>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</si>
  <si>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</si>
  <si>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</si>
  <si>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</si>
  <si>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</si>
  <si>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</si>
  <si>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</si>
  <si>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</si>
  <si>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</si>
  <si>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</si>
  <si>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</si>
  <si>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</si>
  <si>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</si>
  <si>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</si>
  <si>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</si>
  <si>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</si>
  <si>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</si>
  <si>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</si>
  <si>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</si>
  <si>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</si>
  <si>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</si>
  <si>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</si>
  <si>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</si>
  <si>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</si>
  <si>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</si>
  <si>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</si>
  <si>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</si>
  <si>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</si>
  <si>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</si>
  <si>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</si>
  <si>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</si>
  <si>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</si>
  <si>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</si>
  <si>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</si>
  <si>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</si>
  <si>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</si>
  <si>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</si>
  <si>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</si>
  <si>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</si>
  <si>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</si>
  <si>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</si>
  <si>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</si>
  <si>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</si>
  <si>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</si>
  <si>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</si>
  <si>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</si>
  <si>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</si>
  <si>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</si>
  <si>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</si>
  <si>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</si>
  <si>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</si>
  <si>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</si>
  <si>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</si>
  <si>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</si>
  <si>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</si>
  <si>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</si>
  <si>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</si>
  <si>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</si>
  <si>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</si>
  <si>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</si>
  <si>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</si>
  <si>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</si>
  <si>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</si>
  <si>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</si>
  <si>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</si>
  <si>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</si>
  <si>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</si>
  <si>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</si>
  <si>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</si>
  <si>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</si>
  <si>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</si>
  <si>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</si>
  <si>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</si>
  <si>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</si>
  <si>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</si>
  <si>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</si>
  <si>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</si>
  <si>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</si>
  <si>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</si>
  <si>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</si>
  <si>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</si>
  <si>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</si>
  <si>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</si>
  <si>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</si>
  <si>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</si>
  <si>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</si>
  <si>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</si>
  <si>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</si>
  <si>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</si>
  <si>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</si>
  <si>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</si>
  <si>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</si>
  <si>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</si>
  <si>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</si>
  <si>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</si>
  <si>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</si>
  <si>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</si>
  <si>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</si>
  <si>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</si>
  <si>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</si>
  <si>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</si>
  <si>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</si>
  <si>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</si>
  <si>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</si>
  <si>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</si>
  <si>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</si>
  <si>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</si>
  <si>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</si>
  <si>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</si>
  <si>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</si>
  <si>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</si>
  <si>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</si>
  <si>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</si>
  <si>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</si>
  <si>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</si>
  <si>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</si>
  <si>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</si>
  <si>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</si>
  <si>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</si>
  <si>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</si>
  <si>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</si>
  <si>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</si>
  <si>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</si>
  <si>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</si>
  <si>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</si>
  <si>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</si>
  <si>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</si>
  <si>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</si>
  <si>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</si>
  <si>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</si>
  <si>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</si>
  <si>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</si>
  <si>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</si>
  <si>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</si>
  <si>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</si>
  <si>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</si>
  <si>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</si>
  <si>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</si>
  <si>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</si>
  <si>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</si>
  <si>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</si>
  <si>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</si>
  <si>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</si>
  <si>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</si>
  <si>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</si>
  <si>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</si>
  <si>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</si>
  <si>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</si>
  <si>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</si>
  <si>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</si>
  <si>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</si>
  <si>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</si>
  <si>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</si>
  <si>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</si>
  <si>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</si>
  <si>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</si>
  <si>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</si>
  <si>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</si>
  <si>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</si>
  <si>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</si>
  <si>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</si>
  <si>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</si>
  <si>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</si>
  <si>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</si>
  <si>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</si>
  <si>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</si>
  <si>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</si>
  <si>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</si>
  <si>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</si>
  <si>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</si>
  <si>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</si>
  <si>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</si>
  <si>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</si>
  <si>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</si>
  <si>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</si>
  <si>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</si>
  <si>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</si>
  <si>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</si>
  <si>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</si>
  <si>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</si>
  <si>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</si>
  <si>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</si>
  <si>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</si>
  <si>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</si>
  <si>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</si>
  <si>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</si>
  <si>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</si>
  <si>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</si>
  <si>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</si>
  <si>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</si>
  <si>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</si>
  <si>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</si>
  <si>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</si>
  <si>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</si>
  <si>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</si>
  <si>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</si>
  <si>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</si>
  <si>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</si>
  <si>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</si>
  <si>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</si>
  <si>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</si>
  <si>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</si>
  <si>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</si>
  <si>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</si>
  <si>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</si>
  <si>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</si>
  <si>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</si>
  <si>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</si>
  <si>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</si>
  <si>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</si>
  <si>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</si>
  <si>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</si>
  <si>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</si>
  <si>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</si>
  <si>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</si>
  <si>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</si>
  <si>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</si>
  <si>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</si>
  <si>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</si>
  <si>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</si>
  <si>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</si>
  <si>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</si>
  <si>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</si>
  <si>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</si>
  <si>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</si>
  <si>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</si>
  <si>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</si>
  <si>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</si>
  <si>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</si>
  <si>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</si>
  <si>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</si>
  <si>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</si>
  <si>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</si>
  <si>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</si>
  <si>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</si>
  <si>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</si>
  <si>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</si>
  <si>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</si>
  <si>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</si>
  <si>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</si>
  <si>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</si>
  <si>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</si>
  <si>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</si>
  <si>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</si>
  <si>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</si>
  <si>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</si>
  <si>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</si>
  <si>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</si>
  <si>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</si>
  <si>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</si>
  <si>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</si>
  <si>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</si>
  <si>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</si>
  <si>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</si>
  <si>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</si>
  <si>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</si>
  <si>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</si>
  <si>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</si>
  <si>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</si>
  <si>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</si>
  <si>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</si>
  <si>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</si>
  <si>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</si>
  <si>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</si>
  <si>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</si>
  <si>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</si>
  <si>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</si>
  <si>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</si>
  <si>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</si>
  <si>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</si>
  <si>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</si>
  <si>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</si>
  <si>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</si>
  <si>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</si>
  <si>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</si>
  <si>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</si>
  <si>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</si>
  <si>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</si>
  <si>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</si>
  <si>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</si>
  <si>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</si>
  <si>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</si>
  <si>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</si>
  <si>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</si>
  <si>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</si>
  <si>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</si>
  <si>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</si>
  <si>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</si>
  <si>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</si>
  <si>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</si>
  <si>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</si>
  <si>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</si>
  <si>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</si>
  <si>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</si>
  <si>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</si>
  <si>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</si>
  <si>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</si>
  <si>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</si>
  <si>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</si>
  <si>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</si>
  <si>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</si>
  <si>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</si>
  <si>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</si>
  <si>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</si>
  <si>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</si>
  <si>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</si>
  <si>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</si>
  <si>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</si>
  <si>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</si>
  <si>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</si>
  <si>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</si>
  <si>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</si>
  <si>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</si>
  <si>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</si>
  <si>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</si>
  <si>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</si>
  <si>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</si>
  <si>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</si>
  <si>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</si>
  <si>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</si>
  <si>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</si>
  <si>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</si>
  <si>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</si>
  <si>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</si>
  <si>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</si>
  <si>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</si>
  <si>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</si>
  <si>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</si>
  <si>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</si>
  <si>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</si>
  <si>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</si>
  <si>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</si>
  <si>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</si>
  <si>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</si>
  <si>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</si>
  <si>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</si>
  <si>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</si>
  <si>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</si>
  <si>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</si>
  <si>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</si>
  <si>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</si>
  <si>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</si>
  <si>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</si>
  <si>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</si>
  <si>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</si>
  <si>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</si>
  <si>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</si>
  <si>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</si>
  <si>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</si>
  <si>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</si>
  <si>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</si>
  <si>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</si>
  <si>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</si>
  <si>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</si>
  <si>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</si>
  <si>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</si>
  <si>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</si>
  <si>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</si>
  <si>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</si>
  <si>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</si>
  <si>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</si>
  <si>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</si>
  <si>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</si>
  <si>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</si>
  <si>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</si>
  <si>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</si>
  <si>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</si>
  <si>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</si>
  <si>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</si>
  <si>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</si>
  <si>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</si>
  <si>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</si>
  <si>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</si>
  <si>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</si>
  <si>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</si>
  <si>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</si>
  <si>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</si>
  <si>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</si>
  <si>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</si>
  <si>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</si>
  <si>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</si>
  <si>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</si>
  <si>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</si>
  <si>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</si>
  <si>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</si>
  <si>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</si>
  <si>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</si>
  <si>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</si>
  <si>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</si>
  <si>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</si>
  <si>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</si>
  <si>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</si>
  <si>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</si>
  <si>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</si>
  <si>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</si>
  <si>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</si>
  <si>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</si>
  <si>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</si>
  <si>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</si>
  <si>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</si>
  <si>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</si>
  <si>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</si>
  <si>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</si>
  <si>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</si>
  <si>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</si>
  <si>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</si>
  <si>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</si>
  <si>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</si>
  <si>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</si>
  <si>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</si>
  <si>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</si>
  <si>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</si>
  <si>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</si>
  <si>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</si>
  <si>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</si>
  <si>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</si>
  <si>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</si>
  <si>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</si>
  <si>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</si>
  <si>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</si>
  <si>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</si>
  <si>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</si>
  <si>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</si>
  <si>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</si>
  <si>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</si>
  <si>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</si>
  <si>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</si>
  <si>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</si>
  <si>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</si>
  <si>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</si>
  <si>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</si>
  <si>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</si>
  <si>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</si>
  <si>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</si>
  <si>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</si>
  <si>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</si>
  <si>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</si>
  <si>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</si>
  <si>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</si>
  <si>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</si>
  <si>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</si>
  <si>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</si>
  <si>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</si>
  <si>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</si>
  <si>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</si>
  <si>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</si>
  <si>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</si>
  <si>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</si>
  <si>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</si>
  <si>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</si>
  <si>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</si>
  <si>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</si>
  <si>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</si>
  <si>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</si>
  <si>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</si>
  <si>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</si>
  <si>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</si>
  <si>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</si>
  <si>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</si>
  <si>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</si>
  <si>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</si>
  <si>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</si>
  <si>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</si>
  <si>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</si>
  <si>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</si>
  <si>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</si>
  <si>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</si>
  <si>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</si>
  <si>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</si>
  <si>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</si>
  <si>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</si>
  <si>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</si>
  <si>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</si>
  <si>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</si>
  <si>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</si>
  <si>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</si>
  <si>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</si>
  <si>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</si>
  <si>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</si>
  <si>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</si>
  <si>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</si>
  <si>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</si>
  <si>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</si>
  <si>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</si>
  <si>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</si>
  <si>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</si>
  <si>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</si>
  <si>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</si>
  <si>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</si>
  <si>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</si>
  <si>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</si>
  <si>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</si>
  <si>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</si>
  <si>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</si>
  <si>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</si>
  <si>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</si>
  <si>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</si>
  <si>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</si>
  <si>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</si>
  <si>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</si>
  <si>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</si>
  <si>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</si>
  <si>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</si>
  <si>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</si>
  <si>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</si>
  <si>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</si>
  <si>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</si>
  <si>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</si>
  <si>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</si>
  <si>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</si>
  <si>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</si>
  <si>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</si>
  <si>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</si>
  <si>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</si>
  <si>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</si>
  <si>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</si>
  <si>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</si>
  <si>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</si>
  <si>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</si>
  <si>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</si>
  <si>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</si>
  <si>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</si>
  <si>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</si>
  <si>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</si>
  <si>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</si>
  <si>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</si>
  <si>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</si>
  <si>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</si>
  <si>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</si>
  <si>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</si>
  <si>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</si>
  <si>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</si>
  <si>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</si>
  <si>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</si>
  <si>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</si>
  <si>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</si>
  <si>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</si>
  <si>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</si>
  <si>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</si>
  <si>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</si>
  <si>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</si>
  <si>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</si>
  <si>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</si>
  <si>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</si>
  <si>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</si>
  <si>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</si>
  <si>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</si>
  <si>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</si>
  <si>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</si>
  <si>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</si>
  <si>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</si>
  <si>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</si>
  <si>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</si>
  <si>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</si>
  <si>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</si>
  <si>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</si>
  <si>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</si>
  <si>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</si>
  <si>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</si>
  <si>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</si>
  <si>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</si>
  <si>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</si>
  <si>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</si>
  <si>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</si>
  <si>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</si>
  <si>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</si>
  <si>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</si>
  <si>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</si>
  <si>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</si>
  <si>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</si>
  <si>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</si>
  <si>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</si>
  <si>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</si>
  <si>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</si>
  <si>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</si>
  <si>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</si>
  <si>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</si>
  <si>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</si>
  <si>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</si>
  <si>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</si>
  <si>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</si>
  <si>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</si>
  <si>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</si>
  <si>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</si>
  <si>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</si>
  <si>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</si>
  <si>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</si>
  <si>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</si>
  <si>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</si>
  <si>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</si>
  <si>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</si>
  <si>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</si>
  <si>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</si>
  <si>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</si>
  <si>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</si>
  <si>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</si>
  <si>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</si>
  <si>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</si>
  <si>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</si>
  <si>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</si>
  <si>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</si>
  <si>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</si>
  <si>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</si>
  <si>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</si>
  <si>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</si>
  <si>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</si>
  <si>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</si>
  <si>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</si>
  <si>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</si>
  <si>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</si>
  <si>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</si>
  <si>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</si>
  <si>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</si>
  <si>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</si>
  <si>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</si>
  <si>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</si>
  <si>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</si>
  <si>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</si>
  <si>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</si>
  <si>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</si>
  <si>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</si>
  <si>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</si>
  <si>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</si>
  <si>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</si>
  <si>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</si>
  <si>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</si>
  <si>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</si>
  <si>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</si>
  <si>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</si>
  <si>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</si>
  <si>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</si>
  <si>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</si>
  <si>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</si>
  <si>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</si>
  <si>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</si>
  <si>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</si>
  <si>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</si>
  <si>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</si>
  <si>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</si>
  <si>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</si>
  <si>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</si>
  <si>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</si>
  <si>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</si>
  <si>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</si>
  <si>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</si>
  <si>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</si>
  <si>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</si>
  <si>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</si>
  <si>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</si>
  <si>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</si>
  <si>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</si>
  <si>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</si>
  <si>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</si>
  <si>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</si>
  <si>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</si>
  <si>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</si>
  <si>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</si>
  <si>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</si>
  <si>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</si>
  <si>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</si>
  <si>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</si>
  <si>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</si>
  <si>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</si>
  <si>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</si>
  <si>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</si>
  <si>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</si>
  <si>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</si>
  <si>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</si>
  <si>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</si>
  <si>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</si>
  <si>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</si>
  <si>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</si>
  <si>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</si>
  <si>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</si>
  <si>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</si>
  <si>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</si>
  <si>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</si>
  <si>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</si>
  <si>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</si>
  <si>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</si>
  <si>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</si>
  <si>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</si>
  <si>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</si>
  <si>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</si>
  <si>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</si>
  <si>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</si>
  <si>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</si>
  <si>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</si>
  <si>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</si>
  <si>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</si>
  <si>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</si>
  <si>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</si>
  <si>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</si>
  <si>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</si>
  <si>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</si>
  <si>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</si>
  <si>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</si>
  <si>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</si>
  <si>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</si>
  <si>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</si>
  <si>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</si>
  <si>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</si>
  <si>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</si>
  <si>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</si>
  <si>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</si>
  <si>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</si>
  <si>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</si>
  <si>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</si>
  <si>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</si>
  <si>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</si>
  <si>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</si>
  <si>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</si>
  <si>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</si>
  <si>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</si>
  <si>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</si>
  <si>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</si>
  <si>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</si>
  <si>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</si>
  <si>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</si>
  <si>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</si>
  <si>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</si>
  <si>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</si>
  <si>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</si>
  <si>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</si>
  <si>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</si>
  <si>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</si>
  <si>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</si>
  <si>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</si>
  <si>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</si>
  <si>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</si>
  <si>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</si>
  <si>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</si>
  <si>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</si>
  <si>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</si>
  <si>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</si>
  <si>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</si>
  <si>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</si>
  <si>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</si>
  <si>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</si>
  <si>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</si>
  <si>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</si>
  <si>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</si>
  <si>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</si>
  <si>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</si>
  <si>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</si>
  <si>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</si>
  <si>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</si>
  <si>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</si>
  <si>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</si>
  <si>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</si>
  <si>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</si>
  <si>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</si>
  <si>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</si>
  <si>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</si>
  <si>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</si>
  <si>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</si>
  <si>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</si>
  <si>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</si>
  <si>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</si>
  <si>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</si>
  <si>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</si>
  <si>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</si>
  <si>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</si>
  <si>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</si>
  <si>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</si>
  <si>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</si>
  <si>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</si>
  <si>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</si>
  <si>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</si>
  <si>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</si>
  <si>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</si>
  <si>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</si>
  <si>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</si>
  <si>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</si>
  <si>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</si>
  <si>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</si>
  <si>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</si>
  <si>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</si>
  <si>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</si>
  <si>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</si>
  <si>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</si>
  <si>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</si>
  <si>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</si>
  <si>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</si>
  <si>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</si>
  <si>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</si>
  <si>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</si>
  <si>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</si>
  <si>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</si>
  <si>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</si>
  <si>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</si>
  <si>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</si>
  <si>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</si>
  <si>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</si>
  <si>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</si>
  <si>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</si>
  <si>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</si>
  <si>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</si>
  <si>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</si>
  <si>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</si>
  <si>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</si>
  <si>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</si>
  <si>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</si>
  <si>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</si>
  <si>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</si>
  <si>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</si>
  <si>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</si>
  <si>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</si>
  <si>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</si>
  <si>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</si>
  <si>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</si>
  <si>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</si>
  <si>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</si>
  <si>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</si>
  <si>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</si>
  <si>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</si>
  <si>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</si>
  <si>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</si>
  <si>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</si>
  <si>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</si>
  <si>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</si>
  <si>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</si>
  <si>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</si>
  <si>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</si>
  <si>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</si>
  <si>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</si>
  <si>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</si>
  <si>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</si>
  <si>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</si>
  <si>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</si>
  <si>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</si>
  <si>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</si>
  <si>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</si>
  <si>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</si>
  <si>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</si>
  <si>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</si>
  <si>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</si>
  <si>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</si>
  <si>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</si>
  <si>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</si>
  <si>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</si>
  <si>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</si>
  <si>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</si>
  <si>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</si>
  <si>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</si>
  <si>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</si>
  <si>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</si>
  <si>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</si>
  <si>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</si>
  <si>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</si>
  <si>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</si>
  <si>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</si>
  <si>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</si>
  <si>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</si>
  <si>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</si>
  <si>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</si>
  <si>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</si>
  <si>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</si>
  <si>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</si>
  <si>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</si>
  <si>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</si>
  <si>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</si>
  <si>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</si>
  <si>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</si>
  <si>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</si>
  <si>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</si>
  <si>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</si>
  <si>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</si>
  <si>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</si>
  <si>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</si>
  <si>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</si>
  <si>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</si>
  <si>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</si>
  <si>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</si>
  <si>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</si>
  <si>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</si>
  <si>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</si>
  <si>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</si>
  <si>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</si>
  <si>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</si>
  <si>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</si>
  <si>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</si>
  <si>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</si>
  <si>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</si>
  <si>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</si>
  <si>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</si>
  <si>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</si>
  <si>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</si>
  <si>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</si>
  <si>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</si>
  <si>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</si>
  <si>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</si>
  <si>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</si>
  <si>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</si>
  <si>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</si>
  <si>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</si>
  <si>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</si>
  <si>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</si>
  <si>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</si>
  <si>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</si>
  <si>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</si>
  <si>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</si>
  <si>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</si>
  <si>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</si>
  <si>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</si>
  <si>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</si>
  <si>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</si>
  <si>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</si>
  <si>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</si>
  <si>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</si>
  <si>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</si>
  <si>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</si>
  <si>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</si>
  <si>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</si>
  <si>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</si>
  <si>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</si>
  <si>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</si>
  <si>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</si>
  <si>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</si>
  <si>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</si>
  <si>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</si>
  <si>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</si>
  <si>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</si>
  <si>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</si>
  <si>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</si>
  <si>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</si>
  <si>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</si>
  <si>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</si>
  <si>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</si>
  <si>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</si>
  <si>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</si>
  <si>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</si>
  <si>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</si>
  <si>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</si>
  <si>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</si>
  <si>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</si>
  <si>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</si>
  <si>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</si>
  <si>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</si>
  <si>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</si>
  <si>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</si>
  <si>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</si>
  <si>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</si>
  <si>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</si>
  <si>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</si>
  <si>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</si>
  <si>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</si>
  <si>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</si>
  <si>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</si>
  <si>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</si>
  <si>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</si>
  <si>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</si>
  <si>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</si>
  <si>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</si>
  <si>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</si>
  <si>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</si>
  <si>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</si>
  <si>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</si>
  <si>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</si>
  <si>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</si>
  <si>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</si>
  <si>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</si>
  <si>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</si>
  <si>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</si>
  <si>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</si>
  <si>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</si>
  <si>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</si>
  <si>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</si>
  <si>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</si>
  <si>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</si>
  <si>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</si>
  <si>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</si>
  <si>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</si>
  <si>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</si>
  <si>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</si>
  <si>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</si>
  <si>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</si>
  <si>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</si>
  <si>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</si>
  <si>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</si>
  <si>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</si>
  <si>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</si>
  <si>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</si>
  <si>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</si>
  <si>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</si>
  <si>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</si>
  <si>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</si>
  <si>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</si>
  <si>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</si>
  <si>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</si>
  <si>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</si>
  <si>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</si>
  <si>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</si>
  <si>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</si>
  <si>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</si>
  <si>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</si>
  <si>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</si>
  <si>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</si>
  <si>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</si>
  <si>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</si>
  <si>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</si>
  <si>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</si>
  <si>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</si>
  <si>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</si>
  <si>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</si>
  <si>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</si>
  <si>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</si>
  <si>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</si>
  <si>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</si>
  <si>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</si>
  <si>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</si>
  <si>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</si>
  <si>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</si>
  <si>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</si>
  <si>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</si>
  <si>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</si>
  <si>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</si>
  <si>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</si>
  <si>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</si>
  <si>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</si>
  <si>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</si>
  <si>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</si>
  <si>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</si>
  <si>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</si>
  <si>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</si>
  <si>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</si>
  <si>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</si>
  <si>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</si>
  <si>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</si>
  <si>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</si>
  <si>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</si>
  <si>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</si>
  <si>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</si>
  <si>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</si>
  <si>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</si>
  <si>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</si>
  <si>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</si>
  <si>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</si>
  <si>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</si>
  <si>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</si>
  <si>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</si>
  <si>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</si>
  <si>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</si>
  <si>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</si>
  <si>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</si>
  <si>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</si>
  <si>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</si>
  <si>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</si>
  <si>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</si>
  <si>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</si>
  <si>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</si>
  <si>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</si>
  <si>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</si>
  <si>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</si>
  <si>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</si>
  <si>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</si>
  <si>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</si>
  <si>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</si>
  <si>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</si>
  <si>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</si>
  <si>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</si>
  <si>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</si>
  <si>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</si>
  <si>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</si>
  <si>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</si>
  <si>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</si>
  <si>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</si>
  <si>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</si>
  <si>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</si>
  <si>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</si>
  <si>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</si>
  <si>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</si>
  <si>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</si>
  <si>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</si>
  <si>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</si>
  <si>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</si>
  <si>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</si>
  <si>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</si>
  <si>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</si>
  <si>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</si>
  <si>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</si>
  <si>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</si>
  <si>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</si>
  <si>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</si>
  <si>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</si>
  <si>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</si>
  <si>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</si>
  <si>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</si>
  <si>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</si>
  <si>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</si>
  <si>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</si>
  <si>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</si>
  <si>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</si>
  <si>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</si>
  <si>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</si>
  <si>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</si>
  <si>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</si>
  <si>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</si>
  <si>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</si>
  <si>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</si>
  <si>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</si>
  <si>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</si>
  <si>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</si>
  <si>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</si>
  <si>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</si>
  <si>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</si>
  <si>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</si>
  <si>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</si>
  <si>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</si>
  <si>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</si>
  <si>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</si>
  <si>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</si>
  <si>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</si>
  <si>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</si>
  <si>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</si>
  <si>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</si>
  <si>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</si>
  <si>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</si>
  <si>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</si>
  <si>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</si>
  <si>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</si>
  <si>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</si>
  <si>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</si>
  <si>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</si>
  <si>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</si>
  <si>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</si>
  <si>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</si>
  <si>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</si>
  <si>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</si>
  <si>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</si>
  <si>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</si>
  <si>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</si>
  <si>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</si>
  <si>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</si>
  <si>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</si>
  <si>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</si>
  <si>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</si>
  <si>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</si>
  <si>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</si>
  <si>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</si>
  <si>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</si>
  <si>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</si>
  <si>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</si>
  <si>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</si>
  <si>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</si>
  <si>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</si>
  <si>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</si>
  <si>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</si>
  <si>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</si>
  <si>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</si>
  <si>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</si>
  <si>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</si>
  <si>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</si>
  <si>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</si>
  <si>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</si>
  <si>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</si>
  <si>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</si>
  <si>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</si>
  <si>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</si>
  <si>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</si>
  <si>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</si>
  <si>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</si>
  <si>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</si>
  <si>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</si>
  <si>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</si>
  <si>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</si>
  <si>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</si>
  <si>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</si>
  <si>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</si>
  <si>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</si>
  <si>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</si>
  <si>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</si>
  <si>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</si>
  <si>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</si>
  <si>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</si>
  <si>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</si>
  <si>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</si>
  <si>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</si>
  <si>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</si>
  <si>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</si>
  <si>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</si>
  <si>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</si>
  <si>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</si>
  <si>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</si>
  <si>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</si>
  <si>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</si>
  <si>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</si>
  <si>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</si>
  <si>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</si>
  <si>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</si>
  <si>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</si>
  <si>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</si>
  <si>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</si>
  <si>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</si>
  <si>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</si>
  <si>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</si>
  <si>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</si>
  <si>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</si>
  <si>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</si>
  <si>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</si>
  <si>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</si>
  <si>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</si>
  <si>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</si>
  <si>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</si>
  <si>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</si>
  <si>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</si>
  <si>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</si>
  <si>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</si>
  <si>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</si>
  <si>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</si>
  <si>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</si>
  <si>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</si>
  <si>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</si>
  <si>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</si>
  <si>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</si>
  <si>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</si>
  <si>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</si>
  <si>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</si>
  <si>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</si>
  <si>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</si>
  <si>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</si>
  <si>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</si>
  <si>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</si>
  <si>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</si>
  <si>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</si>
  <si>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</si>
  <si>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</si>
  <si>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</si>
  <si>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</si>
  <si>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</si>
  <si>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</si>
  <si>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</si>
  <si>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</si>
  <si>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</si>
  <si>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</si>
  <si>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</si>
  <si>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</si>
  <si>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</si>
  <si>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</si>
  <si>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</si>
  <si>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</si>
  <si>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</si>
  <si>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</si>
  <si>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</si>
  <si>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</si>
  <si>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</si>
  <si>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</si>
  <si>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</si>
  <si>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</si>
  <si>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</si>
  <si>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</si>
  <si>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</si>
  <si>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</si>
  <si>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</si>
  <si>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</si>
  <si>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</si>
  <si>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</si>
  <si>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</si>
  <si>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</si>
  <si>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</si>
  <si>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</si>
  <si>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</si>
  <si>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</si>
  <si>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</si>
  <si>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</si>
  <si>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</si>
  <si>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</si>
  <si>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</si>
  <si>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</si>
  <si>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</si>
  <si>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</si>
  <si>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</si>
  <si>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</si>
  <si>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</si>
  <si>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</si>
  <si>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</si>
  <si>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</si>
  <si>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</si>
  <si>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</si>
  <si>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</si>
  <si>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</si>
  <si>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</si>
  <si>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</si>
  <si>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</si>
  <si>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</si>
  <si>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</si>
  <si>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</si>
  <si>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</si>
  <si>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</si>
  <si>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</si>
  <si>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</si>
  <si>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</si>
  <si>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</si>
  <si>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</si>
  <si>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</si>
  <si>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</si>
  <si>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</si>
  <si>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</si>
  <si>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</si>
  <si>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</si>
  <si>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</si>
  <si>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</si>
  <si>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</si>
  <si>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</si>
  <si>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</si>
  <si>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</si>
  <si>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</si>
  <si>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</si>
  <si>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</si>
  <si>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</si>
  <si>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</si>
  <si>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</si>
  <si>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</si>
  <si>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</si>
  <si>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</si>
  <si>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</si>
  <si>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</si>
  <si>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</si>
  <si>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</si>
  <si>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</si>
  <si>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</si>
  <si>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</si>
  <si>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</si>
  <si>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</si>
  <si>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</si>
  <si>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</si>
  <si>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</si>
  <si>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</si>
  <si>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</si>
  <si>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</si>
  <si>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</si>
  <si>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</si>
  <si>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</si>
  <si>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</si>
  <si>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</si>
  <si>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</si>
  <si>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</si>
  <si>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</si>
  <si>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</si>
  <si>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</si>
  <si>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</si>
  <si>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</si>
  <si>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</si>
  <si>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</si>
  <si>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</si>
  <si>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</si>
  <si>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</si>
  <si>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</si>
  <si>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</si>
  <si>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</si>
  <si>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</si>
  <si>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</si>
  <si>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</si>
  <si>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</si>
  <si>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</si>
  <si>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</si>
  <si>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</si>
  <si>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</si>
  <si>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</si>
  <si>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</si>
  <si>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</si>
  <si>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</si>
  <si>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</si>
  <si>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</si>
  <si>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</si>
  <si>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</si>
  <si>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</si>
  <si>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</si>
  <si>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</si>
  <si>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</si>
  <si>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</si>
  <si>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</si>
  <si>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</si>
  <si>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</si>
  <si>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</si>
  <si>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</si>
  <si>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</si>
  <si>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</si>
  <si>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</si>
  <si>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</si>
  <si>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</si>
  <si>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</si>
  <si>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</si>
  <si>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</si>
  <si>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</si>
  <si>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</si>
  <si>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</si>
  <si>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</si>
  <si>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</si>
  <si>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</si>
  <si>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</si>
  <si>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</si>
  <si>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</si>
  <si>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</si>
  <si>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</si>
  <si>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</si>
  <si>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</si>
  <si>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</si>
  <si>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</si>
  <si>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</si>
  <si>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</si>
  <si>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</si>
  <si>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</si>
  <si>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</si>
  <si>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</si>
  <si>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</si>
  <si>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</si>
  <si>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</si>
  <si>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</si>
  <si>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</si>
  <si>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</si>
  <si>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</si>
  <si>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</si>
  <si>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</si>
  <si>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</si>
  <si>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</si>
  <si>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</si>
  <si>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</si>
  <si>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</si>
  <si>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</si>
  <si>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</si>
  <si>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</si>
  <si>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</si>
  <si>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</si>
  <si>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</si>
  <si>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</si>
  <si>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</si>
  <si>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</si>
  <si>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</si>
  <si>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</si>
  <si>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</si>
  <si>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</si>
  <si>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</si>
  <si>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</si>
  <si>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</si>
  <si>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</si>
  <si>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</si>
  <si>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</si>
  <si>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</si>
  <si>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</si>
  <si>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</si>
  <si>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</si>
  <si>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</si>
  <si>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</si>
  <si>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</si>
  <si>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</si>
  <si>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</si>
  <si>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</si>
  <si>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</si>
  <si>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</si>
  <si>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</si>
  <si>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</si>
  <si>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</si>
  <si>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</si>
  <si>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</si>
  <si>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</si>
  <si>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</si>
  <si>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</si>
  <si>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</si>
  <si>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</si>
  <si>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</si>
  <si>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</si>
  <si>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</si>
  <si>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</si>
  <si>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</si>
  <si>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</si>
  <si>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</si>
  <si>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</si>
  <si>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</si>
  <si>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</si>
  <si>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</si>
  <si>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</si>
  <si>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</si>
  <si>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</si>
  <si>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</si>
  <si>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</si>
  <si>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</si>
  <si>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</si>
  <si>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</si>
  <si>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</si>
  <si>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</si>
  <si>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</si>
  <si>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</si>
  <si>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</si>
  <si>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</si>
  <si>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</si>
  <si>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</si>
  <si>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</si>
  <si>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</si>
  <si>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</si>
  <si>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</si>
  <si>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</si>
  <si>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</si>
  <si>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</si>
  <si>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</si>
  <si>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</si>
  <si>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</si>
  <si>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</si>
  <si>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</si>
  <si>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</si>
  <si>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</si>
  <si>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</si>
  <si>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</si>
  <si>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</si>
  <si>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</si>
  <si>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</si>
  <si>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</si>
  <si>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</si>
  <si>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</si>
  <si>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</si>
  <si>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</si>
  <si>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</si>
  <si>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</si>
  <si>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</si>
  <si>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</si>
  <si>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</si>
  <si>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</si>
  <si>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</si>
  <si>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</si>
  <si>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</si>
  <si>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</si>
  <si>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</si>
  <si>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</si>
  <si>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</si>
  <si>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</si>
  <si>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</si>
  <si>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</si>
  <si>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</si>
  <si>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</si>
  <si>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</si>
  <si>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</si>
  <si>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</si>
  <si>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</si>
  <si>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</si>
  <si>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</si>
  <si>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</si>
  <si>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</si>
  <si>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</si>
  <si>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</si>
  <si>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</si>
  <si>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</si>
  <si>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</si>
  <si>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</si>
  <si>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</si>
  <si>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</si>
  <si>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</si>
  <si>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</si>
  <si>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</si>
  <si>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</si>
  <si>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</si>
  <si>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</si>
  <si>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</si>
  <si>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</si>
  <si>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</si>
  <si>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</si>
  <si>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</si>
  <si>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</si>
  <si>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</si>
  <si>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</si>
  <si>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</si>
  <si>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</si>
  <si>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</si>
  <si>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</si>
  <si>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</si>
  <si>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</si>
  <si>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</si>
  <si>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</si>
  <si>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</si>
  <si>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</si>
  <si>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</si>
  <si>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</si>
  <si>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</si>
  <si>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</si>
  <si>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</si>
  <si>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</si>
  <si>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</si>
  <si>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</si>
  <si>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</si>
  <si>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</si>
  <si>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</si>
  <si>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</si>
  <si>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</si>
  <si>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</si>
  <si>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</si>
  <si>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</si>
  <si>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</si>
  <si>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</si>
  <si>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</si>
  <si>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</si>
  <si>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</si>
  <si>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</si>
  <si>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</si>
  <si>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</si>
  <si>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</si>
  <si>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</si>
  <si>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</si>
  <si>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</si>
  <si>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</si>
  <si>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</si>
  <si>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</si>
  <si>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</si>
  <si>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</si>
  <si>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</si>
  <si>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</si>
  <si>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</si>
  <si>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</si>
  <si>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</si>
  <si>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</si>
  <si>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</si>
  <si>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</si>
  <si>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</si>
  <si>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</si>
  <si>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</si>
  <si>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</si>
  <si>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</si>
  <si>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</si>
  <si>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</si>
  <si>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</si>
  <si>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</si>
  <si>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</si>
  <si>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</si>
  <si>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</si>
  <si>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</si>
  <si>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</si>
  <si>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</si>
  <si>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</si>
  <si>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</si>
  <si>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</si>
  <si>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</si>
  <si>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</si>
  <si>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</si>
  <si>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</si>
  <si>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</si>
  <si>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</si>
  <si>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</si>
  <si>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</si>
  <si>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</si>
  <si>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</si>
  <si>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</si>
  <si>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</si>
  <si>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</si>
  <si>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</si>
  <si>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</si>
  <si>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</si>
  <si>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</si>
  <si>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</si>
  <si>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</si>
  <si>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</si>
  <si>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</si>
  <si>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</si>
  <si>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</si>
  <si>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</si>
  <si>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</si>
  <si>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</si>
  <si>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</si>
  <si>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</si>
  <si>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</si>
  <si>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</si>
  <si>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</si>
  <si>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</si>
  <si>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</si>
  <si>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</si>
  <si>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</si>
  <si>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</si>
  <si>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</si>
  <si>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</si>
  <si>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</si>
  <si>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</si>
  <si>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</si>
  <si>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</si>
  <si>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</si>
  <si>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</si>
  <si>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</si>
  <si>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</si>
  <si>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</si>
  <si>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</si>
  <si>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</si>
  <si>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</si>
  <si>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</si>
  <si>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</si>
  <si>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</si>
  <si>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</si>
  <si>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</si>
  <si>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</si>
  <si>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</si>
  <si>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</si>
  <si>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</si>
  <si>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</si>
  <si>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</si>
  <si>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</si>
  <si>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</si>
  <si>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</si>
  <si>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</si>
  <si>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</si>
  <si>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</si>
  <si>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</si>
  <si>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</si>
  <si>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</si>
  <si>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</si>
  <si>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</si>
  <si>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</si>
  <si>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</si>
  <si>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</si>
  <si>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</si>
  <si>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</si>
  <si>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</si>
  <si>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</si>
  <si>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</si>
  <si>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</si>
  <si>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</si>
  <si>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</si>
  <si>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</si>
  <si>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</si>
  <si>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</si>
  <si>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</si>
  <si>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</si>
  <si>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</si>
  <si>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</si>
  <si>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</si>
  <si>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</si>
  <si>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</si>
  <si>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</si>
  <si>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</si>
  <si>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</si>
  <si>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</si>
  <si>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</si>
  <si>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</si>
  <si>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</si>
  <si>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</si>
  <si>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</si>
  <si>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</si>
  <si>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</si>
  <si>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</si>
  <si>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</si>
  <si>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</si>
  <si>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</si>
  <si>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</si>
  <si>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</si>
  <si>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</si>
  <si>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</si>
  <si>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</si>
  <si>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</si>
  <si>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</si>
  <si>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</si>
  <si>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</si>
  <si>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</si>
  <si>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</si>
  <si>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</si>
  <si>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</si>
  <si>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</si>
  <si>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</si>
  <si>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</si>
  <si>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</si>
  <si>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</si>
  <si>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</si>
  <si>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</si>
  <si>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</si>
  <si>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</si>
  <si>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</si>
  <si>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</si>
  <si>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</si>
  <si>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</si>
  <si>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</si>
  <si>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</si>
  <si>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</si>
  <si>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</si>
  <si>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</si>
  <si>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</si>
  <si>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</si>
  <si>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</si>
  <si>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</si>
  <si>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</si>
  <si>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</si>
  <si>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</si>
  <si>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</si>
  <si>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</si>
  <si>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</si>
  <si>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</si>
  <si>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</si>
  <si>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</si>
  <si>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</si>
  <si>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</si>
  <si>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</si>
  <si>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</si>
  <si>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</si>
  <si>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</si>
  <si>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</si>
  <si>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</si>
  <si>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</si>
  <si>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</si>
  <si>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</si>
  <si>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</si>
  <si>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</si>
  <si>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</si>
  <si>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</si>
  <si>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</si>
  <si>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</si>
  <si>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</si>
  <si>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</si>
  <si>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</si>
  <si>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</si>
  <si>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</si>
  <si>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</si>
  <si>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</si>
  <si>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</si>
  <si>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</si>
  <si>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</si>
  <si>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</si>
  <si>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</si>
  <si>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</si>
  <si>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</si>
  <si>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</si>
  <si>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</si>
  <si>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</si>
  <si>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</si>
  <si>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</si>
  <si>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</si>
  <si>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</si>
  <si>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</si>
  <si>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</si>
  <si>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</si>
  <si>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</si>
  <si>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</si>
  <si>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</si>
  <si>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</si>
  <si>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</si>
  <si>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</si>
  <si>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</si>
  <si>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</si>
  <si>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</si>
  <si>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</si>
  <si>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</si>
  <si>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</si>
  <si>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</si>
  <si>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</si>
  <si>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</si>
  <si>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</si>
  <si>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</si>
  <si>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</si>
  <si>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</si>
  <si>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</si>
  <si>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</si>
  <si>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</si>
  <si>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</si>
  <si>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</si>
  <si>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</si>
  <si>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</si>
  <si>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</si>
  <si>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</si>
  <si>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</si>
  <si>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</si>
  <si>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</si>
  <si>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</si>
  <si>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</si>
  <si>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</si>
  <si>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</si>
  <si>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</si>
  <si>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</si>
  <si>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</si>
  <si>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</si>
  <si>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</si>
  <si>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</si>
  <si>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</si>
  <si>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</si>
  <si>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</si>
  <si>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</si>
  <si>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</si>
  <si>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</si>
  <si>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</si>
  <si>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</si>
  <si>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</si>
  <si>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</si>
  <si>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</si>
  <si>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</si>
  <si>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</si>
  <si>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</si>
  <si>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</si>
  <si>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</si>
  <si>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</si>
  <si>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</si>
  <si>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</si>
  <si>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</si>
  <si>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</si>
  <si>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</si>
  <si>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</si>
  <si>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</si>
  <si>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</si>
  <si>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</si>
  <si>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</si>
  <si>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</si>
  <si>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</si>
  <si>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</si>
  <si>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</si>
  <si>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</si>
  <si>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</si>
  <si>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</si>
  <si>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</si>
  <si>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</si>
  <si>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</si>
  <si>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</si>
  <si>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</si>
  <si>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</si>
  <si>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</si>
  <si>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</si>
  <si>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</si>
  <si>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</si>
  <si>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</si>
  <si>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</si>
  <si>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</si>
  <si>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</si>
  <si>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</si>
  <si>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</si>
  <si>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</si>
  <si>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</si>
  <si>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</si>
  <si>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</si>
  <si>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</si>
  <si>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</si>
  <si>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</si>
  <si>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</si>
  <si>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</si>
  <si>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</si>
  <si>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</si>
  <si>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</si>
  <si>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</si>
  <si>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</si>
  <si>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</si>
  <si>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</si>
  <si>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</si>
  <si>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</si>
  <si>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</si>
  <si>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</si>
  <si>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</si>
  <si>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</si>
  <si>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</si>
  <si>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</si>
  <si>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</si>
  <si>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</si>
  <si>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</si>
  <si>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</si>
  <si>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</si>
  <si>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</si>
  <si>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</si>
  <si>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</si>
  <si>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</si>
  <si>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</si>
  <si>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</si>
  <si>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</si>
  <si>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</si>
  <si>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</si>
  <si>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</si>
  <si>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</si>
  <si>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</si>
  <si>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</si>
  <si>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</si>
  <si>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</si>
  <si>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</si>
  <si>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</si>
  <si>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</si>
  <si>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</si>
  <si>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</si>
  <si>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</si>
  <si>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</si>
  <si>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</si>
  <si>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</si>
  <si>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</si>
  <si>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</si>
  <si>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</si>
  <si>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</si>
  <si>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</si>
  <si>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</si>
  <si>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</si>
  <si>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</si>
  <si>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</si>
  <si>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</si>
  <si>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</si>
  <si>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</si>
  <si>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</si>
  <si>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</si>
  <si>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</si>
  <si>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</si>
  <si>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</si>
  <si>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</si>
  <si>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</si>
  <si>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</si>
  <si>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</si>
  <si>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</si>
  <si>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</si>
  <si>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</si>
  <si>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</si>
  <si>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</si>
  <si>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</si>
  <si>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</si>
  <si>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</si>
  <si>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</si>
  <si>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</si>
  <si>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</si>
  <si>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</si>
  <si>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</si>
  <si>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</si>
  <si>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</si>
  <si>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</si>
  <si>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</si>
  <si>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</si>
  <si>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</si>
  <si>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</si>
  <si>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</si>
  <si>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</si>
  <si>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</si>
  <si>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</si>
  <si>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</si>
  <si>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</si>
  <si>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</si>
  <si>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</si>
  <si>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</si>
  <si>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</si>
  <si>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</si>
  <si>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</si>
  <si>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</si>
  <si>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</si>
  <si>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</si>
  <si>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</si>
  <si>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</si>
  <si>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</si>
  <si>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</si>
  <si>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</si>
  <si>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</si>
  <si>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</si>
  <si>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</si>
  <si>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</si>
  <si>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</si>
  <si>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</si>
  <si>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</si>
  <si>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</si>
  <si>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</si>
  <si>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</si>
  <si>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</si>
  <si>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</si>
  <si>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</si>
  <si>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</si>
  <si>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</si>
  <si>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</si>
  <si>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</si>
  <si>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</si>
  <si>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</si>
  <si>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</si>
  <si>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</si>
  <si>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</si>
  <si>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</si>
  <si>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</si>
  <si>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</si>
  <si>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</si>
  <si>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</si>
  <si>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</si>
  <si>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</si>
  <si>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</si>
  <si>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</si>
  <si>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</si>
  <si>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</si>
  <si>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</si>
  <si>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</si>
  <si>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</si>
  <si>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</si>
  <si>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</si>
  <si>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</si>
  <si>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</si>
  <si>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</si>
  <si>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</si>
  <si>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</si>
  <si>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</si>
  <si>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</si>
  <si>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</si>
  <si>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</si>
  <si>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</si>
  <si>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</si>
  <si>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</si>
  <si>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</si>
  <si>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</si>
  <si>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</si>
  <si>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</si>
  <si>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</si>
  <si>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</si>
  <si>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</si>
  <si>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</si>
  <si>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</si>
  <si>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</si>
  <si>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</si>
  <si>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</si>
  <si>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</si>
  <si>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</si>
  <si>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</si>
  <si>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</si>
  <si>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</si>
  <si>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</si>
  <si>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</si>
  <si>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</si>
  <si>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</si>
  <si>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</si>
  <si>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</si>
  <si>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</si>
  <si>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</si>
  <si>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</si>
  <si>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</si>
  <si>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</si>
  <si>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</si>
  <si>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</si>
  <si>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</si>
  <si>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</si>
  <si>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</si>
  <si>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</si>
  <si>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</si>
  <si>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</si>
  <si>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</si>
  <si>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</si>
  <si>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</si>
  <si>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</si>
  <si>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</si>
  <si>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</si>
  <si>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</si>
  <si>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</si>
  <si>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</si>
  <si>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</si>
  <si>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</si>
  <si>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</si>
  <si>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</si>
  <si>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</si>
  <si>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</si>
  <si>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</si>
  <si>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</si>
  <si>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</si>
  <si>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</si>
  <si>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</si>
  <si>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</si>
  <si>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</si>
  <si>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</si>
  <si>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</si>
  <si>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</si>
  <si>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</si>
  <si>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</si>
  <si>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</si>
  <si>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</si>
  <si>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</si>
  <si>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</si>
  <si>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</si>
  <si>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</si>
  <si>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</si>
  <si>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</si>
  <si>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</si>
  <si>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</si>
  <si>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</si>
  <si>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</si>
  <si>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</si>
  <si>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</si>
  <si>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</si>
  <si>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</si>
  <si>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</si>
  <si>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</si>
  <si>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</si>
  <si>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</si>
  <si>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</si>
  <si>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</si>
  <si>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</si>
  <si>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</si>
  <si>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</si>
  <si>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</si>
  <si>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</si>
  <si>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</si>
  <si>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</si>
  <si>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</si>
  <si>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</si>
  <si>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</si>
  <si>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</si>
  <si>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</si>
  <si>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</si>
  <si>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</si>
  <si>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</si>
  <si>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</si>
  <si>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</si>
  <si>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</si>
  <si>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</si>
  <si>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</si>
  <si>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</si>
  <si>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</si>
  <si>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</si>
  <si>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</si>
  <si>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</si>
  <si>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</si>
  <si>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</si>
  <si>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</si>
  <si>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</si>
  <si>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</si>
  <si>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</si>
  <si>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</si>
  <si>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</si>
  <si>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</si>
  <si>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</si>
  <si>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</si>
  <si>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</si>
  <si>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</si>
  <si>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</si>
  <si>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</si>
  <si>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</si>
  <si>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</si>
  <si>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</si>
  <si>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</si>
  <si>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</si>
  <si>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</si>
  <si>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</si>
  <si>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</si>
  <si>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</si>
  <si>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</si>
  <si>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</si>
  <si>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</si>
  <si>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</si>
  <si>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</si>
  <si>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</si>
  <si>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</si>
  <si>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</si>
  <si>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</si>
  <si>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</si>
  <si>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</si>
  <si>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</si>
  <si>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</si>
  <si>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</si>
  <si>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</si>
  <si>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</si>
  <si>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</si>
  <si>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</si>
  <si>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</si>
  <si>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</si>
  <si>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</si>
  <si>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</si>
  <si>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</si>
  <si>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</si>
  <si>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</si>
  <si>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</si>
  <si>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</si>
  <si>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</si>
  <si>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</si>
  <si>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</si>
  <si>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</si>
  <si>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</si>
  <si>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</si>
  <si>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</si>
  <si>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</si>
  <si>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</si>
  <si>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</si>
  <si>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</si>
  <si>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</si>
  <si>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</si>
  <si>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</si>
  <si>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</si>
  <si>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</si>
  <si>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</si>
  <si>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</si>
  <si>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</si>
  <si>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</si>
  <si>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</si>
  <si>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</si>
  <si>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</si>
  <si>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</si>
  <si>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</si>
  <si>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</si>
  <si>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</si>
  <si>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</si>
  <si>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</si>
  <si>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</si>
  <si>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</si>
  <si>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</si>
  <si>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</si>
  <si>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</si>
  <si>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</si>
  <si>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</si>
  <si>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</si>
  <si>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</si>
  <si>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</si>
  <si>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</si>
  <si>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</si>
  <si>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</si>
  <si>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</si>
  <si>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</si>
  <si>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</si>
  <si>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</si>
  <si>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</si>
  <si>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</si>
  <si>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</si>
  <si>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</si>
  <si>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</si>
  <si>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>ORGANISMO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</si>
  <si>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</si>
  <si>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</si>
  <si>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</si>
  <si>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</si>
  <si>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</si>
  <si>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</si>
  <si>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</si>
  <si>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</si>
  <si>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</si>
  <si>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</si>
  <si>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</si>
  <si>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</si>
  <si>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</si>
  <si>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</si>
  <si>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</si>
  <si>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</si>
  <si>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</si>
  <si>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</si>
  <si>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2018 y al 30 de junio de 2019 (b)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</si>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</sst>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0" applyNumberForma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3" t="s">
        <v>829</v>
      </c>
      <c r="B1" s="164"/>
      <c r="C1" s="164"/>
      <c r="D1" s="164"/>
      <c r="E1" s="165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66" t="s">
        <v>3284</v>
      </c>
      <c r="D3" s="166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80" zoomScaleNormal="80" workbookViewId="0">
      <selection activeCell="A67" sqref="A67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79" t="s">
        <v>542</v>
      </c>
      <c r="B1" s="179"/>
      <c r="C1" s="179"/>
      <c r="D1" s="179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7" t="str">
        <f>ENTE_PUBLICO_A</f>
        <v>ORGANISMO, Gobierno del Estado de Guanajuato (a)</v>
      </c>
      <c r="B2" s="168"/>
      <c r="C2" s="168"/>
      <c r="D2" s="169"/>
    </row>
    <row r="3" spans="1:11" ht="14.25" x14ac:dyDescent="0.45">
      <c r="A3" s="170" t="s">
        <v>166</v>
      </c>
      <c r="B3" s="171"/>
      <c r="C3" s="171"/>
      <c r="D3" s="172"/>
    </row>
    <row r="4" spans="1:11" ht="14.25" x14ac:dyDescent="0.45">
      <c r="A4" s="173" t="str">
        <f>TRIMESTRE</f>
        <v>Del 1 de enero al 30 de junio de 2019 (b)</v>
      </c>
      <c r="B4" s="174"/>
      <c r="C4" s="174"/>
      <c r="D4" s="175"/>
    </row>
    <row r="5" spans="1:11" ht="14.25" x14ac:dyDescent="0.45">
      <c r="A5" s="176" t="s">
        <v>118</v>
      </c>
      <c r="B5" s="177"/>
      <c r="C5" s="177"/>
      <c r="D5" s="178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88210940</v>
      </c>
      <c r="C8" s="40">
        <f t="shared" ref="C8:D8" si="0">SUM(C9:C11)</f>
        <v>51855691.530000001</v>
      </c>
      <c r="D8" s="40">
        <f t="shared" si="0"/>
        <v>51855691.530000001</v>
      </c>
    </row>
    <row r="9" spans="1:11" x14ac:dyDescent="0.25">
      <c r="A9" s="53" t="s">
        <v>169</v>
      </c>
      <c r="B9" s="152">
        <v>52510940</v>
      </c>
      <c r="C9" s="152">
        <v>30520933.530000001</v>
      </c>
      <c r="D9" s="152">
        <v>30520933.530000001</v>
      </c>
    </row>
    <row r="10" spans="1:11" x14ac:dyDescent="0.25">
      <c r="A10" s="53" t="s">
        <v>170</v>
      </c>
      <c r="B10" s="152">
        <v>35700000</v>
      </c>
      <c r="C10" s="152">
        <v>21334758</v>
      </c>
      <c r="D10" s="152">
        <v>21334758</v>
      </c>
    </row>
    <row r="11" spans="1:11" ht="14.25" x14ac:dyDescent="0.4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88210940</v>
      </c>
      <c r="C13" s="40">
        <f t="shared" ref="C13:D13" si="2">C14+C15</f>
        <v>32972589.559999999</v>
      </c>
      <c r="D13" s="40">
        <f t="shared" si="2"/>
        <v>32928389.559999999</v>
      </c>
    </row>
    <row r="14" spans="1:11" x14ac:dyDescent="0.25">
      <c r="A14" s="53" t="s">
        <v>172</v>
      </c>
      <c r="B14" s="152">
        <v>52510940</v>
      </c>
      <c r="C14" s="152">
        <v>26673057.489999998</v>
      </c>
      <c r="D14" s="152">
        <v>26628857.489999998</v>
      </c>
    </row>
    <row r="15" spans="1:11" x14ac:dyDescent="0.25">
      <c r="A15" s="53" t="s">
        <v>173</v>
      </c>
      <c r="B15" s="152">
        <v>35700000</v>
      </c>
      <c r="C15" s="152">
        <v>6299532.0700000003</v>
      </c>
      <c r="D15" s="152">
        <v>6299532.0700000003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18883101.970000003</v>
      </c>
      <c r="D21" s="40">
        <f t="shared" si="4"/>
        <v>18927301.970000003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5">C21-C11</f>
        <v>18883101.970000003</v>
      </c>
      <c r="D23" s="40">
        <f t="shared" si="5"/>
        <v>18927301.970000003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18883101.970000003</v>
      </c>
      <c r="D25" s="40">
        <f>D23-D17</f>
        <v>18927301.970000003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18883101.970000003</v>
      </c>
      <c r="D33" s="61">
        <f t="shared" si="8"/>
        <v>18927301.970000003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2</v>
      </c>
      <c r="C37" s="61">
        <f t="shared" ref="C37:D37" si="9">C38+C39</f>
        <v>2</v>
      </c>
      <c r="D37" s="61">
        <f t="shared" si="9"/>
        <v>2</v>
      </c>
    </row>
    <row r="38" spans="1:4" x14ac:dyDescent="0.25">
      <c r="A38" s="53" t="s">
        <v>192</v>
      </c>
      <c r="B38" s="60">
        <v>1</v>
      </c>
      <c r="C38" s="60">
        <v>1</v>
      </c>
      <c r="D38" s="60">
        <v>1</v>
      </c>
    </row>
    <row r="39" spans="1:4" x14ac:dyDescent="0.25">
      <c r="A39" s="53" t="s">
        <v>193</v>
      </c>
      <c r="B39" s="60">
        <v>1</v>
      </c>
      <c r="C39" s="60">
        <v>1</v>
      </c>
      <c r="D39" s="60">
        <v>1</v>
      </c>
    </row>
    <row r="40" spans="1:4" x14ac:dyDescent="0.25">
      <c r="A40" s="55" t="s">
        <v>194</v>
      </c>
      <c r="B40" s="61">
        <f>B41+B42</f>
        <v>2</v>
      </c>
      <c r="C40" s="61">
        <f t="shared" ref="C40:D40" si="10">C41+C42</f>
        <v>2</v>
      </c>
      <c r="D40" s="61">
        <f t="shared" si="10"/>
        <v>2</v>
      </c>
    </row>
    <row r="41" spans="1:4" x14ac:dyDescent="0.25">
      <c r="A41" s="53" t="s">
        <v>195</v>
      </c>
      <c r="B41" s="60">
        <v>1</v>
      </c>
      <c r="C41" s="60">
        <v>1</v>
      </c>
      <c r="D41" s="60">
        <v>1</v>
      </c>
    </row>
    <row r="42" spans="1:4" x14ac:dyDescent="0.25">
      <c r="A42" s="53" t="s">
        <v>196</v>
      </c>
      <c r="B42" s="60">
        <v>1</v>
      </c>
      <c r="C42" s="60">
        <v>1</v>
      </c>
      <c r="D42" s="60">
        <v>1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52510940</v>
      </c>
      <c r="C48" s="124">
        <f>C9</f>
        <v>30520933.530000001</v>
      </c>
      <c r="D48" s="124">
        <f t="shared" ref="D48" si="12">D9</f>
        <v>30520933.530000001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52510940</v>
      </c>
      <c r="C53" s="60">
        <f t="shared" ref="C53:D53" si="14">C14</f>
        <v>26673057.489999998</v>
      </c>
      <c r="D53" s="60">
        <f t="shared" si="14"/>
        <v>26628857.489999998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5">C18</f>
        <v>0</v>
      </c>
      <c r="D55" s="60">
        <f t="shared" si="15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3847876.0400000028</v>
      </c>
      <c r="D57" s="61">
        <f t="shared" ref="D57" si="16">D48+D49-D53+D55</f>
        <v>3892076.0400000028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7">C57-C49</f>
        <v>3847876.0400000028</v>
      </c>
      <c r="D59" s="61">
        <f t="shared" si="17"/>
        <v>3892076.0400000028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35700000</v>
      </c>
      <c r="C63" s="122">
        <f t="shared" ref="C63:D63" si="18">C10</f>
        <v>21334758</v>
      </c>
      <c r="D63" s="122">
        <f t="shared" si="18"/>
        <v>21334758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35700000</v>
      </c>
      <c r="C68" s="23">
        <f t="shared" ref="C68:D68" si="20">C15</f>
        <v>6299532.0700000003</v>
      </c>
      <c r="D68" s="23">
        <f t="shared" si="20"/>
        <v>6299532.0700000003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2">C63+C64-C68+C70</f>
        <v>15035225.93</v>
      </c>
      <c r="D72" s="40">
        <f t="shared" si="22"/>
        <v>15035225.93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15035225.93</v>
      </c>
      <c r="D74" s="40">
        <f t="shared" ref="D74" si="23">D72-D64</f>
        <v>15035225.93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88210940</v>
      </c>
      <c r="Q2" s="18">
        <f>'Formato 4'!C8</f>
        <v>51855691.530000001</v>
      </c>
      <c r="R2" s="18">
        <f>'Formato 4'!D8</f>
        <v>51855691.530000001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52510940</v>
      </c>
      <c r="Q3" s="18">
        <f>'Formato 4'!C9</f>
        <v>30520933.530000001</v>
      </c>
      <c r="R3" s="18">
        <f>'Formato 4'!D9</f>
        <v>30520933.530000001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35700000</v>
      </c>
      <c r="Q4" s="18">
        <f>'Formato 4'!C10</f>
        <v>21334758</v>
      </c>
      <c r="R4" s="18">
        <f>'Formato 4'!D10</f>
        <v>21334758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88210940</v>
      </c>
      <c r="Q6" s="18">
        <f>'Formato 4'!C13</f>
        <v>32972589.559999999</v>
      </c>
      <c r="R6" s="18">
        <f>'Formato 4'!D13</f>
        <v>32928389.559999999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52510940</v>
      </c>
      <c r="Q7" s="18">
        <f>'Formato 4'!C14</f>
        <v>26673057.489999998</v>
      </c>
      <c r="R7" s="18">
        <f>'Formato 4'!D14</f>
        <v>26628857.489999998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35700000</v>
      </c>
      <c r="Q8" s="18">
        <f>'Formato 4'!C15</f>
        <v>6299532.0700000003</v>
      </c>
      <c r="R8" s="18">
        <f>'Formato 4'!D15</f>
        <v>6299532.0700000003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18883101.970000003</v>
      </c>
      <c r="R12" s="18">
        <f>'Formato 4'!D21</f>
        <v>18927301.970000003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18883101.970000003</v>
      </c>
      <c r="R13" s="18">
        <f>'Formato 4'!D23</f>
        <v>18927301.970000003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18883101.970000003</v>
      </c>
      <c r="R14" s="18">
        <f>'Formato 4'!D25</f>
        <v>18927301.970000003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18883101.970000003</v>
      </c>
      <c r="R18">
        <f>'Formato 4'!D33</f>
        <v>18927301.970000003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2</v>
      </c>
      <c r="Q19">
        <f>'Formato 4'!C37</f>
        <v>2</v>
      </c>
      <c r="R19">
        <f>'Formato 4'!D37</f>
        <v>2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1</v>
      </c>
      <c r="Q20">
        <f>'Formato 4'!C38</f>
        <v>1</v>
      </c>
      <c r="R20">
        <f>'Formato 4'!D38</f>
        <v>1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1</v>
      </c>
      <c r="Q21">
        <f>'Formato 4'!C39</f>
        <v>1</v>
      </c>
      <c r="R21">
        <f>'Formato 4'!D39</f>
        <v>1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2</v>
      </c>
      <c r="Q22">
        <f>'Formato 4'!C40</f>
        <v>2</v>
      </c>
      <c r="R22">
        <f>'Formato 4'!D40</f>
        <v>2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1</v>
      </c>
      <c r="Q23">
        <f>'Formato 4'!C41</f>
        <v>1</v>
      </c>
      <c r="R23">
        <f>'Formato 4'!D41</f>
        <v>1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</v>
      </c>
      <c r="Q24">
        <f>'Formato 4'!C42</f>
        <v>1</v>
      </c>
      <c r="R24">
        <f>'Formato 4'!D42</f>
        <v>1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52510940</v>
      </c>
      <c r="Q26">
        <f>'Formato 4'!C48</f>
        <v>30520933.530000001</v>
      </c>
      <c r="R26">
        <f>'Formato 4'!D48</f>
        <v>30520933.530000001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52510940</v>
      </c>
      <c r="Q30">
        <f>'Formato 4'!C53</f>
        <v>26673057.489999998</v>
      </c>
      <c r="R30">
        <f>'Formato 4'!D53</f>
        <v>26628857.489999998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35700000</v>
      </c>
      <c r="Q32">
        <f>'Formato 4'!C63</f>
        <v>21334758</v>
      </c>
      <c r="R32">
        <f>'Formato 4'!D63</f>
        <v>21334758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35700000</v>
      </c>
      <c r="Q36">
        <f>'Formato 4'!C68</f>
        <v>6299532.0700000003</v>
      </c>
      <c r="R36">
        <f>'Formato 4'!D68</f>
        <v>6299532.0700000003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15035225.93</v>
      </c>
      <c r="R38">
        <f>'Formato 4'!D72</f>
        <v>15035225.93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15035225.93</v>
      </c>
      <c r="R39">
        <f>'Formato 4'!D74</f>
        <v>15035225.93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2" zoomScale="80" zoomScaleNormal="80" workbookViewId="0">
      <selection activeCell="D75" sqref="D75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5" t="s">
        <v>206</v>
      </c>
      <c r="B1" s="185"/>
      <c r="C1" s="185"/>
      <c r="D1" s="185"/>
      <c r="E1" s="185"/>
      <c r="F1" s="185"/>
      <c r="G1" s="185"/>
    </row>
    <row r="2" spans="1:8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8"/>
      <c r="G2" s="169"/>
    </row>
    <row r="3" spans="1:8" x14ac:dyDescent="0.25">
      <c r="A3" s="170" t="s">
        <v>207</v>
      </c>
      <c r="B3" s="171"/>
      <c r="C3" s="171"/>
      <c r="D3" s="171"/>
      <c r="E3" s="171"/>
      <c r="F3" s="171"/>
      <c r="G3" s="172"/>
    </row>
    <row r="4" spans="1:8" ht="14.25" x14ac:dyDescent="0.45">
      <c r="A4" s="173" t="str">
        <f>TRIMESTRE</f>
        <v>Del 1 de enero al 30 de junio de 2019 (b)</v>
      </c>
      <c r="B4" s="174"/>
      <c r="C4" s="174"/>
      <c r="D4" s="174"/>
      <c r="E4" s="174"/>
      <c r="F4" s="174"/>
      <c r="G4" s="175"/>
    </row>
    <row r="5" spans="1:8" ht="14.25" x14ac:dyDescent="0.45">
      <c r="A5" s="176" t="s">
        <v>118</v>
      </c>
      <c r="B5" s="177"/>
      <c r="C5" s="177"/>
      <c r="D5" s="177"/>
      <c r="E5" s="177"/>
      <c r="F5" s="177"/>
      <c r="G5" s="178"/>
    </row>
    <row r="6" spans="1:8" x14ac:dyDescent="0.25">
      <c r="A6" s="182" t="s">
        <v>214</v>
      </c>
      <c r="B6" s="184" t="s">
        <v>208</v>
      </c>
      <c r="C6" s="184"/>
      <c r="D6" s="184"/>
      <c r="E6" s="184"/>
      <c r="F6" s="184"/>
      <c r="G6" s="184" t="s">
        <v>209</v>
      </c>
    </row>
    <row r="7" spans="1:8" ht="30" x14ac:dyDescent="0.25">
      <c r="A7" s="183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4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3">
        <v>604240</v>
      </c>
      <c r="C9" s="153">
        <v>85947.520000000004</v>
      </c>
      <c r="D9" s="154">
        <f>B9+C9</f>
        <v>690187.52</v>
      </c>
      <c r="E9" s="153">
        <v>649999</v>
      </c>
      <c r="F9" s="153">
        <v>649999</v>
      </c>
      <c r="G9" s="154">
        <f>F9-B9</f>
        <v>45759</v>
      </c>
      <c r="H9" s="8"/>
    </row>
    <row r="10" spans="1:8" x14ac:dyDescent="0.25">
      <c r="A10" s="53" t="s">
        <v>217</v>
      </c>
      <c r="B10" s="153">
        <v>0</v>
      </c>
      <c r="C10" s="153">
        <v>0</v>
      </c>
      <c r="D10" s="154">
        <f t="shared" ref="D10:D14" si="0">B10+C10</f>
        <v>0</v>
      </c>
      <c r="E10" s="153">
        <v>0</v>
      </c>
      <c r="F10" s="153">
        <v>0</v>
      </c>
      <c r="G10" s="154">
        <f t="shared" ref="G10:G14" si="1">F10-B10</f>
        <v>0</v>
      </c>
    </row>
    <row r="11" spans="1:8" x14ac:dyDescent="0.25">
      <c r="A11" s="53" t="s">
        <v>218</v>
      </c>
      <c r="B11" s="153">
        <v>0</v>
      </c>
      <c r="C11" s="153">
        <v>0</v>
      </c>
      <c r="D11" s="154">
        <f t="shared" si="0"/>
        <v>0</v>
      </c>
      <c r="E11" s="153">
        <v>0</v>
      </c>
      <c r="F11" s="153">
        <v>0</v>
      </c>
      <c r="G11" s="154">
        <f t="shared" si="1"/>
        <v>0</v>
      </c>
    </row>
    <row r="12" spans="1:8" x14ac:dyDescent="0.25">
      <c r="A12" s="53" t="s">
        <v>219</v>
      </c>
      <c r="B12" s="153">
        <v>1349500</v>
      </c>
      <c r="C12" s="153">
        <v>-147399.19</v>
      </c>
      <c r="D12" s="154">
        <f t="shared" si="0"/>
        <v>1202100.81</v>
      </c>
      <c r="E12" s="153">
        <v>934061.46</v>
      </c>
      <c r="F12" s="153">
        <v>934061.46</v>
      </c>
      <c r="G12" s="154">
        <f t="shared" si="1"/>
        <v>-415438.54000000004</v>
      </c>
    </row>
    <row r="13" spans="1:8" x14ac:dyDescent="0.25">
      <c r="A13" s="53" t="s">
        <v>220</v>
      </c>
      <c r="B13" s="153">
        <v>317600</v>
      </c>
      <c r="C13" s="153">
        <v>-48428.85</v>
      </c>
      <c r="D13" s="154">
        <f t="shared" si="0"/>
        <v>269171.15000000002</v>
      </c>
      <c r="E13" s="153">
        <v>146562.49</v>
      </c>
      <c r="F13" s="153">
        <v>146562.49</v>
      </c>
      <c r="G13" s="154">
        <f t="shared" si="1"/>
        <v>-171037.51</v>
      </c>
    </row>
    <row r="14" spans="1:8" x14ac:dyDescent="0.25">
      <c r="A14" s="53" t="s">
        <v>221</v>
      </c>
      <c r="B14" s="153">
        <v>683600</v>
      </c>
      <c r="C14" s="153">
        <v>109880.52</v>
      </c>
      <c r="D14" s="154">
        <f t="shared" si="0"/>
        <v>793480.52</v>
      </c>
      <c r="E14" s="153">
        <v>793480.52</v>
      </c>
      <c r="F14" s="153">
        <v>793480.52</v>
      </c>
      <c r="G14" s="154">
        <f t="shared" si="1"/>
        <v>109880.52000000002</v>
      </c>
    </row>
    <row r="15" spans="1:8" ht="14.25" x14ac:dyDescent="0.45">
      <c r="A15" s="53" t="s">
        <v>222</v>
      </c>
      <c r="B15" s="60"/>
      <c r="C15" s="60"/>
      <c r="D15" s="60"/>
      <c r="E15" s="60"/>
      <c r="F15" s="60"/>
      <c r="G15" s="60">
        <f t="shared" ref="G15" si="2">F15-B15</f>
        <v>0</v>
      </c>
    </row>
    <row r="16" spans="1:8" ht="14.25" x14ac:dyDescent="0.45">
      <c r="A16" s="10" t="s">
        <v>275</v>
      </c>
      <c r="B16" s="60">
        <f>SUM(B17:B27)</f>
        <v>49556000</v>
      </c>
      <c r="C16" s="60">
        <f t="shared" ref="C16:F16" si="3">SUM(C17:C27)</f>
        <v>0</v>
      </c>
      <c r="D16" s="60">
        <f t="shared" si="3"/>
        <v>49556000</v>
      </c>
      <c r="E16" s="155">
        <f>SUM(E17:E27)</f>
        <v>27996830.059999999</v>
      </c>
      <c r="F16" s="60">
        <f t="shared" si="3"/>
        <v>27996830.059999999</v>
      </c>
      <c r="G16" s="60">
        <f>SUM(G17:G27)</f>
        <v>-21559169.940000001</v>
      </c>
    </row>
    <row r="17" spans="1:7" x14ac:dyDescent="0.25">
      <c r="A17" s="63" t="s">
        <v>223</v>
      </c>
      <c r="B17" s="153">
        <v>49556000</v>
      </c>
      <c r="C17" s="153">
        <v>0</v>
      </c>
      <c r="D17" s="154">
        <f t="shared" ref="D17" si="4">B17+C17</f>
        <v>49556000</v>
      </c>
      <c r="E17" s="153">
        <v>27996830.059999999</v>
      </c>
      <c r="F17" s="153">
        <v>27996830.059999999</v>
      </c>
      <c r="G17" s="154">
        <f t="shared" ref="G17" si="5">F17-B17</f>
        <v>-21559169.940000001</v>
      </c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>
        <f t="shared" ref="G18:G27" si="6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6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6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6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6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6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6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6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6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6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7">SUM(C29:C33)</f>
        <v>0</v>
      </c>
      <c r="D28" s="60">
        <f t="shared" si="7"/>
        <v>0</v>
      </c>
      <c r="E28" s="60">
        <f t="shared" si="7"/>
        <v>0</v>
      </c>
      <c r="F28" s="60">
        <f t="shared" si="7"/>
        <v>0</v>
      </c>
      <c r="G28" s="60">
        <f t="shared" si="7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8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8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8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8"/>
        <v>0</v>
      </c>
    </row>
    <row r="35" spans="1:8" x14ac:dyDescent="0.25">
      <c r="A35" s="53" t="s">
        <v>241</v>
      </c>
      <c r="B35" s="60">
        <f>B36</f>
        <v>0</v>
      </c>
      <c r="C35" s="60">
        <f t="shared" ref="C35:F35" si="9">C36</f>
        <v>525829</v>
      </c>
      <c r="D35" s="60">
        <f t="shared" si="9"/>
        <v>525829</v>
      </c>
      <c r="E35" s="60">
        <f t="shared" si="9"/>
        <v>348364</v>
      </c>
      <c r="F35" s="60">
        <f t="shared" si="9"/>
        <v>348364</v>
      </c>
      <c r="G35" s="60">
        <f>G36</f>
        <v>348364</v>
      </c>
    </row>
    <row r="36" spans="1:8" x14ac:dyDescent="0.25">
      <c r="A36" s="63" t="s">
        <v>242</v>
      </c>
      <c r="B36" s="153">
        <v>0</v>
      </c>
      <c r="C36" s="153">
        <v>525829</v>
      </c>
      <c r="D36" s="154">
        <f>B36+C36</f>
        <v>525829</v>
      </c>
      <c r="E36" s="153">
        <v>348364</v>
      </c>
      <c r="F36" s="153">
        <v>348364</v>
      </c>
      <c r="G36" s="60">
        <f>F36-B36</f>
        <v>348364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0">C38+C39</f>
        <v>0</v>
      </c>
      <c r="D37" s="60">
        <f t="shared" si="10"/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52510940</v>
      </c>
      <c r="C41" s="61">
        <f t="shared" ref="C41:E41" si="11">SUM(C9,C10,C11,C12,C13,C14,C15,C16,C28,C34,C35,C37)</f>
        <v>525829</v>
      </c>
      <c r="D41" s="61">
        <f t="shared" si="11"/>
        <v>53036769</v>
      </c>
      <c r="E41" s="61">
        <f t="shared" si="11"/>
        <v>30869297.529999997</v>
      </c>
      <c r="F41" s="61">
        <f>SUM(F9,F10,F11,F12,F13,F14,F15,F16,F28,F34,F35,F37)</f>
        <v>30869297.529999997</v>
      </c>
      <c r="G41" s="61">
        <f>SUM(G9,G10,G11,G12,G13,G14,G15,G16,G28,G34,G35,G37)</f>
        <v>-21641642.470000003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35700000</v>
      </c>
      <c r="C45" s="60">
        <f t="shared" ref="C45:G45" si="12">SUM(C46:C53)</f>
        <v>0</v>
      </c>
      <c r="D45" s="60">
        <f t="shared" si="12"/>
        <v>35700000</v>
      </c>
      <c r="E45" s="60">
        <f t="shared" si="12"/>
        <v>21334758</v>
      </c>
      <c r="F45" s="60">
        <f t="shared" si="12"/>
        <v>21334758</v>
      </c>
      <c r="G45" s="60">
        <f t="shared" si="12"/>
        <v>-14365242</v>
      </c>
    </row>
    <row r="46" spans="1:8" x14ac:dyDescent="0.25">
      <c r="A46" s="69" t="s">
        <v>249</v>
      </c>
      <c r="B46" s="154"/>
      <c r="C46" s="154"/>
      <c r="D46" s="154">
        <f>B46+C46</f>
        <v>0</v>
      </c>
      <c r="E46" s="154"/>
      <c r="F46" s="154"/>
      <c r="G46" s="60">
        <f>F46-B46</f>
        <v>0</v>
      </c>
    </row>
    <row r="47" spans="1:8" x14ac:dyDescent="0.25">
      <c r="A47" s="69" t="s">
        <v>250</v>
      </c>
      <c r="B47" s="154"/>
      <c r="C47" s="154"/>
      <c r="D47" s="154">
        <f t="shared" ref="D47:D49" si="13">B47+C47</f>
        <v>0</v>
      </c>
      <c r="E47" s="154"/>
      <c r="F47" s="154"/>
      <c r="G47" s="60">
        <f t="shared" ref="G47:G53" si="14">F47-B47</f>
        <v>0</v>
      </c>
    </row>
    <row r="48" spans="1:8" x14ac:dyDescent="0.25">
      <c r="A48" s="69" t="s">
        <v>251</v>
      </c>
      <c r="B48" s="153">
        <v>23500000</v>
      </c>
      <c r="C48" s="153">
        <v>0</v>
      </c>
      <c r="D48" s="154">
        <f t="shared" si="13"/>
        <v>23500000</v>
      </c>
      <c r="E48" s="153">
        <v>14919222</v>
      </c>
      <c r="F48" s="153">
        <v>14919222</v>
      </c>
      <c r="G48" s="60">
        <f t="shared" si="14"/>
        <v>-8580778</v>
      </c>
    </row>
    <row r="49" spans="1:7" ht="30" x14ac:dyDescent="0.25">
      <c r="A49" s="69" t="s">
        <v>252</v>
      </c>
      <c r="B49" s="153">
        <v>12200000</v>
      </c>
      <c r="C49" s="153">
        <v>0</v>
      </c>
      <c r="D49" s="154">
        <f t="shared" si="13"/>
        <v>12200000</v>
      </c>
      <c r="E49" s="153">
        <v>6415536</v>
      </c>
      <c r="F49" s="153">
        <v>6415536</v>
      </c>
      <c r="G49" s="60">
        <f t="shared" si="14"/>
        <v>-5784464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4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4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4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4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5">SUM(C55:C58)</f>
        <v>1054000</v>
      </c>
      <c r="D54" s="60">
        <f t="shared" si="15"/>
        <v>1054000</v>
      </c>
      <c r="E54" s="60">
        <f t="shared" si="15"/>
        <v>0</v>
      </c>
      <c r="F54" s="60">
        <f t="shared" si="15"/>
        <v>0</v>
      </c>
      <c r="G54" s="60">
        <f t="shared" si="15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6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6"/>
        <v>0</v>
      </c>
    </row>
    <row r="58" spans="1:7" x14ac:dyDescent="0.25">
      <c r="A58" s="48" t="s">
        <v>261</v>
      </c>
      <c r="B58" s="60"/>
      <c r="C58" s="153">
        <v>1054000</v>
      </c>
      <c r="D58" s="154">
        <f t="shared" ref="D58" si="17">B58+C58</f>
        <v>1054000</v>
      </c>
      <c r="E58" s="60"/>
      <c r="F58" s="60"/>
      <c r="G58" s="60">
        <f t="shared" si="16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8">SUM(C60:C61)</f>
        <v>0</v>
      </c>
      <c r="D59" s="60">
        <f t="shared" si="18"/>
        <v>0</v>
      </c>
      <c r="E59" s="60">
        <f t="shared" si="18"/>
        <v>0</v>
      </c>
      <c r="F59" s="60">
        <f t="shared" si="18"/>
        <v>0</v>
      </c>
      <c r="G59" s="60">
        <f t="shared" si="18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35700000</v>
      </c>
      <c r="C65" s="61">
        <f>C45+C54+C59+C62+C63</f>
        <v>1054000</v>
      </c>
      <c r="D65" s="61">
        <f>D45+D54+D59+D62+D63</f>
        <v>36754000</v>
      </c>
      <c r="E65" s="61">
        <f t="shared" ref="E65:G65" si="19">E45+E54+E59+E62+E63</f>
        <v>21334758</v>
      </c>
      <c r="F65" s="61">
        <f t="shared" si="19"/>
        <v>21334758</v>
      </c>
      <c r="G65" s="61">
        <f t="shared" si="19"/>
        <v>-14365242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0">C68</f>
        <v>0</v>
      </c>
      <c r="D67" s="61">
        <f t="shared" si="20"/>
        <v>0</v>
      </c>
      <c r="E67" s="61">
        <f t="shared" si="20"/>
        <v>0</v>
      </c>
      <c r="F67" s="61">
        <f t="shared" si="20"/>
        <v>0</v>
      </c>
      <c r="G67" s="61">
        <f t="shared" si="20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88210940</v>
      </c>
      <c r="C70" s="61">
        <f t="shared" ref="C70:G70" si="21">C41+C65+C67</f>
        <v>1579829</v>
      </c>
      <c r="D70" s="61">
        <f t="shared" si="21"/>
        <v>89790769</v>
      </c>
      <c r="E70" s="61">
        <f t="shared" si="21"/>
        <v>52204055.530000001</v>
      </c>
      <c r="F70" s="61">
        <f t="shared" si="21"/>
        <v>52204055.530000001</v>
      </c>
      <c r="G70" s="61">
        <f t="shared" si="21"/>
        <v>-36006884.469999999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22">C73+C74</f>
        <v>0</v>
      </c>
      <c r="D75" s="61">
        <f t="shared" si="22"/>
        <v>0</v>
      </c>
      <c r="E75" s="61">
        <f t="shared" si="22"/>
        <v>0</v>
      </c>
      <c r="F75" s="61">
        <f t="shared" si="22"/>
        <v>0</v>
      </c>
      <c r="G75" s="61">
        <f t="shared" si="22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604240</v>
      </c>
      <c r="Q3" s="18">
        <f>'Formato 5'!C9</f>
        <v>85947.520000000004</v>
      </c>
      <c r="R3" s="18">
        <f>'Formato 5'!D9</f>
        <v>690187.52</v>
      </c>
      <c r="S3" s="18">
        <f>'Formato 5'!E9</f>
        <v>649999</v>
      </c>
      <c r="T3" s="18">
        <f>'Formato 5'!F9</f>
        <v>649999</v>
      </c>
      <c r="U3" s="18">
        <f>'Formato 5'!G9</f>
        <v>45759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1349500</v>
      </c>
      <c r="Q6" s="18">
        <f>'Formato 5'!C12</f>
        <v>-147399.19</v>
      </c>
      <c r="R6" s="18">
        <f>'Formato 5'!D12</f>
        <v>1202100.81</v>
      </c>
      <c r="S6" s="18">
        <f>'Formato 5'!E12</f>
        <v>934061.46</v>
      </c>
      <c r="T6" s="18">
        <f>'Formato 5'!F12</f>
        <v>934061.46</v>
      </c>
      <c r="U6" s="18">
        <f>'Formato 5'!G12</f>
        <v>-415438.54000000004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317600</v>
      </c>
      <c r="Q7" s="18">
        <f>'Formato 5'!C13</f>
        <v>-48428.85</v>
      </c>
      <c r="R7" s="18">
        <f>'Formato 5'!D13</f>
        <v>269171.15000000002</v>
      </c>
      <c r="S7" s="18">
        <f>'Formato 5'!E13</f>
        <v>146562.49</v>
      </c>
      <c r="T7" s="18">
        <f>'Formato 5'!F13</f>
        <v>146562.49</v>
      </c>
      <c r="U7" s="18">
        <f>'Formato 5'!G13</f>
        <v>-171037.51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683600</v>
      </c>
      <c r="Q8" s="18">
        <f>'Formato 5'!C14</f>
        <v>109880.52</v>
      </c>
      <c r="R8" s="18">
        <f>'Formato 5'!D14</f>
        <v>793480.52</v>
      </c>
      <c r="S8" s="18">
        <f>'Formato 5'!E14</f>
        <v>793480.52</v>
      </c>
      <c r="T8" s="18">
        <f>'Formato 5'!F14</f>
        <v>793480.52</v>
      </c>
      <c r="U8" s="18">
        <f>'Formato 5'!G14</f>
        <v>109880.52000000002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49556000</v>
      </c>
      <c r="Q10" s="18">
        <f>'Formato 5'!C16</f>
        <v>0</v>
      </c>
      <c r="R10" s="18">
        <f>'Formato 5'!D16</f>
        <v>49556000</v>
      </c>
      <c r="S10" s="18">
        <f>'Formato 5'!E16</f>
        <v>27996830.059999999</v>
      </c>
      <c r="T10" s="18">
        <f>'Formato 5'!F16</f>
        <v>27996830.059999999</v>
      </c>
      <c r="U10" s="18">
        <f>'Formato 5'!G16</f>
        <v>-21559169.940000001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49556000</v>
      </c>
      <c r="Q11" s="18">
        <f>'Formato 5'!C17</f>
        <v>0</v>
      </c>
      <c r="R11" s="18">
        <f>'Formato 5'!D17</f>
        <v>49556000</v>
      </c>
      <c r="S11" s="18">
        <f>'Formato 5'!E17</f>
        <v>27996830.059999999</v>
      </c>
      <c r="T11" s="18">
        <f>'Formato 5'!F17</f>
        <v>27996830.059999999</v>
      </c>
      <c r="U11" s="18">
        <f>'Formato 5'!G17</f>
        <v>-21559169.940000001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525829</v>
      </c>
      <c r="R29" s="18">
        <f>'Formato 5'!D35</f>
        <v>525829</v>
      </c>
      <c r="S29" s="18">
        <f>'Formato 5'!E35</f>
        <v>348364</v>
      </c>
      <c r="T29" s="18">
        <f>'Formato 5'!F35</f>
        <v>348364</v>
      </c>
      <c r="U29" s="18">
        <f>'Formato 5'!G35</f>
        <v>348364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525829</v>
      </c>
      <c r="R30" s="18">
        <f>'Formato 5'!D36</f>
        <v>525829</v>
      </c>
      <c r="S30" s="18">
        <f>'Formato 5'!E36</f>
        <v>348364</v>
      </c>
      <c r="T30" s="18">
        <f>'Formato 5'!F36</f>
        <v>348364</v>
      </c>
      <c r="U30" s="18">
        <f>'Formato 5'!G36</f>
        <v>348364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52510940</v>
      </c>
      <c r="Q34">
        <f>'Formato 5'!C41</f>
        <v>525829</v>
      </c>
      <c r="R34">
        <f>'Formato 5'!D41</f>
        <v>53036769</v>
      </c>
      <c r="S34">
        <f>'Formato 5'!E41</f>
        <v>30869297.529999997</v>
      </c>
      <c r="T34">
        <f>'Formato 5'!F41</f>
        <v>30869297.529999997</v>
      </c>
      <c r="U34">
        <f>'Formato 5'!G41</f>
        <v>-21641642.470000003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35700000</v>
      </c>
      <c r="Q37">
        <f>'Formato 5'!C45</f>
        <v>0</v>
      </c>
      <c r="R37">
        <f>'Formato 5'!D45</f>
        <v>35700000</v>
      </c>
      <c r="S37">
        <f>'Formato 5'!E45</f>
        <v>21334758</v>
      </c>
      <c r="T37">
        <f>'Formato 5'!F45</f>
        <v>21334758</v>
      </c>
      <c r="U37">
        <f>'Formato 5'!G45</f>
        <v>-14365242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23500000</v>
      </c>
      <c r="Q40">
        <f>'Formato 5'!C48</f>
        <v>0</v>
      </c>
      <c r="R40">
        <f>'Formato 5'!D48</f>
        <v>23500000</v>
      </c>
      <c r="S40">
        <f>'Formato 5'!E48</f>
        <v>14919222</v>
      </c>
      <c r="T40">
        <f>'Formato 5'!F48</f>
        <v>14919222</v>
      </c>
      <c r="U40">
        <f>'Formato 5'!G48</f>
        <v>-8580778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12200000</v>
      </c>
      <c r="Q41">
        <f>'Formato 5'!C49</f>
        <v>0</v>
      </c>
      <c r="R41">
        <f>'Formato 5'!D49</f>
        <v>12200000</v>
      </c>
      <c r="S41">
        <f>'Formato 5'!E49</f>
        <v>6415536</v>
      </c>
      <c r="T41">
        <f>'Formato 5'!F49</f>
        <v>6415536</v>
      </c>
      <c r="U41">
        <f>'Formato 5'!G49</f>
        <v>-5784464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1054000</v>
      </c>
      <c r="R46">
        <f>'Formato 5'!D54</f>
        <v>1054000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1054000</v>
      </c>
      <c r="R50">
        <f>'Formato 5'!D58</f>
        <v>1054000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35700000</v>
      </c>
      <c r="Q56">
        <f>'Formato 5'!C65</f>
        <v>1054000</v>
      </c>
      <c r="R56">
        <f>'Formato 5'!D65</f>
        <v>36754000</v>
      </c>
      <c r="S56">
        <f>'Formato 5'!E65</f>
        <v>21334758</v>
      </c>
      <c r="T56">
        <f>'Formato 5'!F65</f>
        <v>21334758</v>
      </c>
      <c r="U56">
        <f>'Formato 5'!G65</f>
        <v>-14365242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51" zoomScale="70" zoomScaleNormal="70" zoomScalePageLayoutView="90" workbookViewId="0">
      <selection activeCell="A159" sqref="A15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6" t="s">
        <v>3286</v>
      </c>
      <c r="B1" s="185"/>
      <c r="C1" s="185"/>
      <c r="D1" s="185"/>
      <c r="E1" s="185"/>
      <c r="F1" s="185"/>
      <c r="G1" s="185"/>
    </row>
    <row r="2" spans="1:7" ht="14.25" x14ac:dyDescent="0.45">
      <c r="A2" s="189" t="str">
        <f>ENTE_PUBLICO_A</f>
        <v>ORGANISMO, Gobierno del Estado de Guanajuato (a)</v>
      </c>
      <c r="B2" s="189"/>
      <c r="C2" s="189"/>
      <c r="D2" s="189"/>
      <c r="E2" s="189"/>
      <c r="F2" s="189"/>
      <c r="G2" s="189"/>
    </row>
    <row r="3" spans="1:7" x14ac:dyDescent="0.25">
      <c r="A3" s="190" t="s">
        <v>277</v>
      </c>
      <c r="B3" s="190"/>
      <c r="C3" s="190"/>
      <c r="D3" s="190"/>
      <c r="E3" s="190"/>
      <c r="F3" s="190"/>
      <c r="G3" s="190"/>
    </row>
    <row r="4" spans="1:7" x14ac:dyDescent="0.25">
      <c r="A4" s="190" t="s">
        <v>278</v>
      </c>
      <c r="B4" s="190"/>
      <c r="C4" s="190"/>
      <c r="D4" s="190"/>
      <c r="E4" s="190"/>
      <c r="F4" s="190"/>
      <c r="G4" s="190"/>
    </row>
    <row r="5" spans="1:7" ht="14.25" x14ac:dyDescent="0.45">
      <c r="A5" s="191" t="str">
        <f>TRIMESTRE</f>
        <v>Del 1 de enero al 30 de junio de 2019 (b)</v>
      </c>
      <c r="B5" s="191"/>
      <c r="C5" s="191"/>
      <c r="D5" s="191"/>
      <c r="E5" s="191"/>
      <c r="F5" s="191"/>
      <c r="G5" s="191"/>
    </row>
    <row r="6" spans="1:7" ht="14.25" x14ac:dyDescent="0.45">
      <c r="A6" s="183" t="s">
        <v>118</v>
      </c>
      <c r="B6" s="183"/>
      <c r="C6" s="183"/>
      <c r="D6" s="183"/>
      <c r="E6" s="183"/>
      <c r="F6" s="183"/>
      <c r="G6" s="183"/>
    </row>
    <row r="7" spans="1:7" ht="15" customHeight="1" x14ac:dyDescent="0.25">
      <c r="A7" s="187" t="s">
        <v>0</v>
      </c>
      <c r="B7" s="187" t="s">
        <v>279</v>
      </c>
      <c r="C7" s="187"/>
      <c r="D7" s="187"/>
      <c r="E7" s="187"/>
      <c r="F7" s="187"/>
      <c r="G7" s="188" t="s">
        <v>280</v>
      </c>
    </row>
    <row r="8" spans="1:7" ht="30" x14ac:dyDescent="0.25">
      <c r="A8" s="187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7"/>
    </row>
    <row r="9" spans="1:7" ht="14.25" x14ac:dyDescent="0.45">
      <c r="A9" s="82" t="s">
        <v>285</v>
      </c>
      <c r="B9" s="79">
        <f>SUM(B10,B18,B28,B38,B48,B58,B62,B71,B75)</f>
        <v>52510940</v>
      </c>
      <c r="C9" s="79">
        <f t="shared" ref="C9:G9" si="0">SUM(C10,C18,C28,C38,C48,C58,C62,C71,C75)</f>
        <v>752029.3200000003</v>
      </c>
      <c r="D9" s="79">
        <f t="shared" si="0"/>
        <v>53262969.32</v>
      </c>
      <c r="E9" s="79">
        <f t="shared" si="0"/>
        <v>26673057.490000002</v>
      </c>
      <c r="F9" s="79">
        <f t="shared" si="0"/>
        <v>26628857.490000002</v>
      </c>
      <c r="G9" s="79">
        <f t="shared" si="0"/>
        <v>26589911.830000002</v>
      </c>
    </row>
    <row r="10" spans="1:7" ht="14.25" x14ac:dyDescent="0.45">
      <c r="A10" s="83" t="s">
        <v>286</v>
      </c>
      <c r="B10" s="80">
        <f>SUM(B11:B17)</f>
        <v>27608670.080000002</v>
      </c>
      <c r="C10" s="80">
        <f t="shared" ref="C10:F10" si="1">SUM(C11:C17)</f>
        <v>522605.83999999997</v>
      </c>
      <c r="D10" s="80">
        <f t="shared" si="1"/>
        <v>28131275.919999998</v>
      </c>
      <c r="E10" s="80">
        <f t="shared" si="1"/>
        <v>10631200.449999999</v>
      </c>
      <c r="F10" s="80">
        <f t="shared" si="1"/>
        <v>10631200.449999999</v>
      </c>
      <c r="G10" s="80">
        <f>SUM(G11:G17)</f>
        <v>17500075.469999999</v>
      </c>
    </row>
    <row r="11" spans="1:7" x14ac:dyDescent="0.25">
      <c r="A11" s="84" t="s">
        <v>287</v>
      </c>
      <c r="B11" s="156">
        <v>19115766.120000001</v>
      </c>
      <c r="C11" s="156">
        <v>-662.96</v>
      </c>
      <c r="D11" s="157">
        <f>B11+C11</f>
        <v>19115103.16</v>
      </c>
      <c r="E11" s="156">
        <v>8571211.7599999998</v>
      </c>
      <c r="F11" s="156">
        <v>8571211.7599999998</v>
      </c>
      <c r="G11" s="80">
        <f>D11-E11</f>
        <v>10543891.4</v>
      </c>
    </row>
    <row r="12" spans="1:7" x14ac:dyDescent="0.25">
      <c r="A12" s="84" t="s">
        <v>288</v>
      </c>
      <c r="B12" s="156">
        <v>2457300</v>
      </c>
      <c r="C12" s="156">
        <v>560505.11</v>
      </c>
      <c r="D12" s="157">
        <f t="shared" ref="D12:D17" si="2">B12+C12</f>
        <v>3017805.11</v>
      </c>
      <c r="E12" s="156">
        <v>1235709.98</v>
      </c>
      <c r="F12" s="156">
        <v>1235709.98</v>
      </c>
      <c r="G12" s="80">
        <f>D12-E12</f>
        <v>1782095.13</v>
      </c>
    </row>
    <row r="13" spans="1:7" x14ac:dyDescent="0.25">
      <c r="A13" s="84" t="s">
        <v>289</v>
      </c>
      <c r="B13" s="156">
        <v>2725410.26</v>
      </c>
      <c r="C13" s="156">
        <v>39078.839999999997</v>
      </c>
      <c r="D13" s="157">
        <f t="shared" si="2"/>
        <v>2764489.0999999996</v>
      </c>
      <c r="E13" s="156">
        <v>224866.67</v>
      </c>
      <c r="F13" s="156">
        <v>224866.67</v>
      </c>
      <c r="G13" s="80">
        <f t="shared" ref="G13:G17" si="3">D13-E13</f>
        <v>2539622.4299999997</v>
      </c>
    </row>
    <row r="14" spans="1:7" x14ac:dyDescent="0.25">
      <c r="A14" s="84" t="s">
        <v>290</v>
      </c>
      <c r="B14" s="156">
        <v>1215241</v>
      </c>
      <c r="C14" s="156">
        <v>-30419.52</v>
      </c>
      <c r="D14" s="157">
        <f t="shared" si="2"/>
        <v>1184821.48</v>
      </c>
      <c r="E14" s="156">
        <v>407039.62</v>
      </c>
      <c r="F14" s="156">
        <v>407039.62</v>
      </c>
      <c r="G14" s="80">
        <f t="shared" si="3"/>
        <v>777781.86</v>
      </c>
    </row>
    <row r="15" spans="1:7" x14ac:dyDescent="0.25">
      <c r="A15" s="84" t="s">
        <v>291</v>
      </c>
      <c r="B15" s="156">
        <v>434188.21</v>
      </c>
      <c r="C15" s="156">
        <v>0</v>
      </c>
      <c r="D15" s="157">
        <f t="shared" si="2"/>
        <v>434188.21</v>
      </c>
      <c r="E15" s="156">
        <v>192372.42</v>
      </c>
      <c r="F15" s="156">
        <v>192372.42</v>
      </c>
      <c r="G15" s="80">
        <f t="shared" si="3"/>
        <v>241815.79</v>
      </c>
    </row>
    <row r="16" spans="1:7" x14ac:dyDescent="0.25">
      <c r="A16" s="84" t="s">
        <v>292</v>
      </c>
      <c r="B16" s="156">
        <v>1660764.49</v>
      </c>
      <c r="C16" s="156">
        <v>-45895.63</v>
      </c>
      <c r="D16" s="157">
        <f t="shared" si="2"/>
        <v>1614868.86</v>
      </c>
      <c r="E16" s="156">
        <v>0</v>
      </c>
      <c r="F16" s="156">
        <v>0</v>
      </c>
      <c r="G16" s="80">
        <f t="shared" si="3"/>
        <v>1614868.86</v>
      </c>
    </row>
    <row r="17" spans="1:7" x14ac:dyDescent="0.25">
      <c r="A17" s="84" t="s">
        <v>293</v>
      </c>
      <c r="B17" s="157"/>
      <c r="C17" s="157"/>
      <c r="D17" s="157">
        <f t="shared" si="2"/>
        <v>0</v>
      </c>
      <c r="E17" s="157"/>
      <c r="F17" s="157"/>
      <c r="G17" s="80">
        <f t="shared" si="3"/>
        <v>0</v>
      </c>
    </row>
    <row r="18" spans="1:7" x14ac:dyDescent="0.25">
      <c r="A18" s="83" t="s">
        <v>294</v>
      </c>
      <c r="B18" s="80">
        <f>SUM(B19:B27)</f>
        <v>4044200</v>
      </c>
      <c r="C18" s="80">
        <f t="shared" ref="C18:F18" si="4">SUM(C19:C27)</f>
        <v>-228088.5</v>
      </c>
      <c r="D18" s="80">
        <f t="shared" si="4"/>
        <v>3816111.5</v>
      </c>
      <c r="E18" s="80">
        <f t="shared" si="4"/>
        <v>2476671.56</v>
      </c>
      <c r="F18" s="80">
        <f t="shared" si="4"/>
        <v>2476671.56</v>
      </c>
      <c r="G18" s="80">
        <f>SUM(G19:G27)</f>
        <v>1339439.94</v>
      </c>
    </row>
    <row r="19" spans="1:7" x14ac:dyDescent="0.25">
      <c r="A19" s="84" t="s">
        <v>295</v>
      </c>
      <c r="B19" s="156">
        <v>840700</v>
      </c>
      <c r="C19" s="156">
        <v>-215421.11</v>
      </c>
      <c r="D19" s="157">
        <f t="shared" ref="D19:D27" si="5">B19+C19</f>
        <v>625278.89</v>
      </c>
      <c r="E19" s="156">
        <v>277108.37</v>
      </c>
      <c r="F19" s="156">
        <v>277108.37</v>
      </c>
      <c r="G19" s="80">
        <f>D19-E19</f>
        <v>348170.52</v>
      </c>
    </row>
    <row r="20" spans="1:7" x14ac:dyDescent="0.25">
      <c r="A20" s="84" t="s">
        <v>296</v>
      </c>
      <c r="B20" s="156">
        <v>355000</v>
      </c>
      <c r="C20" s="156">
        <v>88058.02</v>
      </c>
      <c r="D20" s="157">
        <f t="shared" si="5"/>
        <v>443058.02</v>
      </c>
      <c r="E20" s="156">
        <v>321413.07</v>
      </c>
      <c r="F20" s="156">
        <v>321413.07</v>
      </c>
      <c r="G20" s="80">
        <f t="shared" ref="G20:G27" si="6">D20-E20</f>
        <v>121644.95000000001</v>
      </c>
    </row>
    <row r="21" spans="1:7" x14ac:dyDescent="0.25">
      <c r="A21" s="84" t="s">
        <v>297</v>
      </c>
      <c r="B21" s="157"/>
      <c r="C21" s="157"/>
      <c r="D21" s="157">
        <f t="shared" si="5"/>
        <v>0</v>
      </c>
      <c r="E21" s="157"/>
      <c r="F21" s="157"/>
      <c r="G21" s="80">
        <f t="shared" si="6"/>
        <v>0</v>
      </c>
    </row>
    <row r="22" spans="1:7" x14ac:dyDescent="0.25">
      <c r="A22" s="84" t="s">
        <v>298</v>
      </c>
      <c r="B22" s="156">
        <v>1006700</v>
      </c>
      <c r="C22" s="156">
        <v>-130922.81</v>
      </c>
      <c r="D22" s="157">
        <f t="shared" si="5"/>
        <v>875777.19</v>
      </c>
      <c r="E22" s="156">
        <v>554889.06000000006</v>
      </c>
      <c r="F22" s="156">
        <v>554889.06000000006</v>
      </c>
      <c r="G22" s="80">
        <f t="shared" si="6"/>
        <v>320888.12999999989</v>
      </c>
    </row>
    <row r="23" spans="1:7" x14ac:dyDescent="0.25">
      <c r="A23" s="84" t="s">
        <v>299</v>
      </c>
      <c r="B23" s="156">
        <v>3000</v>
      </c>
      <c r="C23" s="156">
        <v>41357.5</v>
      </c>
      <c r="D23" s="157">
        <f t="shared" si="5"/>
        <v>44357.5</v>
      </c>
      <c r="E23" s="156">
        <v>41357.5</v>
      </c>
      <c r="F23" s="156">
        <v>41357.5</v>
      </c>
      <c r="G23" s="80">
        <f t="shared" si="6"/>
        <v>3000</v>
      </c>
    </row>
    <row r="24" spans="1:7" x14ac:dyDescent="0.25">
      <c r="A24" s="84" t="s">
        <v>300</v>
      </c>
      <c r="B24" s="156">
        <v>1747500</v>
      </c>
      <c r="C24" s="156">
        <v>-58833.4</v>
      </c>
      <c r="D24" s="157">
        <f t="shared" si="5"/>
        <v>1688666.6</v>
      </c>
      <c r="E24" s="156">
        <v>1181136.57</v>
      </c>
      <c r="F24" s="156">
        <v>1181136.57</v>
      </c>
      <c r="G24" s="80">
        <f t="shared" si="6"/>
        <v>507530.03</v>
      </c>
    </row>
    <row r="25" spans="1:7" x14ac:dyDescent="0.25">
      <c r="A25" s="84" t="s">
        <v>301</v>
      </c>
      <c r="B25" s="156">
        <v>62600</v>
      </c>
      <c r="C25" s="156">
        <v>-3267.61</v>
      </c>
      <c r="D25" s="157">
        <f t="shared" si="5"/>
        <v>59332.39</v>
      </c>
      <c r="E25" s="156">
        <v>39817.61</v>
      </c>
      <c r="F25" s="156">
        <v>39817.61</v>
      </c>
      <c r="G25" s="80">
        <f t="shared" si="6"/>
        <v>19514.78</v>
      </c>
    </row>
    <row r="26" spans="1:7" x14ac:dyDescent="0.25">
      <c r="A26" s="84" t="s">
        <v>302</v>
      </c>
      <c r="B26" s="156">
        <v>0</v>
      </c>
      <c r="C26" s="156">
        <v>23350.799999999999</v>
      </c>
      <c r="D26" s="157">
        <f t="shared" si="5"/>
        <v>23350.799999999999</v>
      </c>
      <c r="E26" s="156">
        <v>23350.799999999999</v>
      </c>
      <c r="F26" s="156">
        <v>23350.799999999999</v>
      </c>
      <c r="G26" s="80">
        <f t="shared" si="6"/>
        <v>0</v>
      </c>
    </row>
    <row r="27" spans="1:7" x14ac:dyDescent="0.25">
      <c r="A27" s="84" t="s">
        <v>303</v>
      </c>
      <c r="B27" s="156">
        <v>28700</v>
      </c>
      <c r="C27" s="156">
        <v>27590.11</v>
      </c>
      <c r="D27" s="157">
        <f t="shared" si="5"/>
        <v>56290.11</v>
      </c>
      <c r="E27" s="156">
        <v>37598.58</v>
      </c>
      <c r="F27" s="156">
        <v>37598.58</v>
      </c>
      <c r="G27" s="80">
        <f t="shared" si="6"/>
        <v>18691.53</v>
      </c>
    </row>
    <row r="28" spans="1:7" x14ac:dyDescent="0.25">
      <c r="A28" s="83" t="s">
        <v>304</v>
      </c>
      <c r="B28" s="80">
        <f>SUM(B29:B37)</f>
        <v>10253444.810000001</v>
      </c>
      <c r="C28" s="80">
        <f t="shared" ref="C28:G28" si="7">SUM(C29:C37)</f>
        <v>409390.14000000013</v>
      </c>
      <c r="D28" s="80">
        <f t="shared" si="7"/>
        <v>10662834.949999999</v>
      </c>
      <c r="E28" s="80">
        <f t="shared" si="7"/>
        <v>5502059.6299999999</v>
      </c>
      <c r="F28" s="80">
        <f t="shared" si="7"/>
        <v>5478859.6299999999</v>
      </c>
      <c r="G28" s="80">
        <f t="shared" si="7"/>
        <v>5160775.3199999994</v>
      </c>
    </row>
    <row r="29" spans="1:7" x14ac:dyDescent="0.25">
      <c r="A29" s="84" t="s">
        <v>305</v>
      </c>
      <c r="B29" s="156">
        <v>1642300</v>
      </c>
      <c r="C29" s="156">
        <v>-2360.36</v>
      </c>
      <c r="D29" s="157">
        <f t="shared" ref="D29:D37" si="8">B29+C29</f>
        <v>1639939.64</v>
      </c>
      <c r="E29" s="156">
        <v>915633.3</v>
      </c>
      <c r="F29" s="156">
        <v>915633.3</v>
      </c>
      <c r="G29" s="80">
        <f>D29-E29</f>
        <v>724306.33999999985</v>
      </c>
    </row>
    <row r="30" spans="1:7" x14ac:dyDescent="0.25">
      <c r="A30" s="84" t="s">
        <v>306</v>
      </c>
      <c r="B30" s="156">
        <v>39500</v>
      </c>
      <c r="C30" s="156">
        <v>4415.2</v>
      </c>
      <c r="D30" s="157">
        <f t="shared" si="8"/>
        <v>43915.199999999997</v>
      </c>
      <c r="E30" s="156">
        <v>4415.2</v>
      </c>
      <c r="F30" s="156">
        <v>4415.2</v>
      </c>
      <c r="G30" s="80">
        <f t="shared" ref="G30:G37" si="9">D30-E30</f>
        <v>39500</v>
      </c>
    </row>
    <row r="31" spans="1:7" x14ac:dyDescent="0.25">
      <c r="A31" s="84" t="s">
        <v>307</v>
      </c>
      <c r="B31" s="156">
        <v>395500</v>
      </c>
      <c r="C31" s="156">
        <v>-117627.64</v>
      </c>
      <c r="D31" s="157">
        <f t="shared" si="8"/>
        <v>277872.36</v>
      </c>
      <c r="E31" s="156">
        <v>118327</v>
      </c>
      <c r="F31" s="156">
        <v>118327</v>
      </c>
      <c r="G31" s="80">
        <f t="shared" si="9"/>
        <v>159545.35999999999</v>
      </c>
    </row>
    <row r="32" spans="1:7" x14ac:dyDescent="0.25">
      <c r="A32" s="84" t="s">
        <v>308</v>
      </c>
      <c r="B32" s="156">
        <v>111700</v>
      </c>
      <c r="C32" s="156">
        <v>3218.44</v>
      </c>
      <c r="D32" s="157">
        <f t="shared" si="8"/>
        <v>114918.44</v>
      </c>
      <c r="E32" s="156">
        <v>21486.799999999999</v>
      </c>
      <c r="F32" s="156">
        <v>21486.799999999999</v>
      </c>
      <c r="G32" s="80">
        <f t="shared" si="9"/>
        <v>93431.64</v>
      </c>
    </row>
    <row r="33" spans="1:7" x14ac:dyDescent="0.25">
      <c r="A33" s="84" t="s">
        <v>309</v>
      </c>
      <c r="B33" s="156">
        <v>1500600</v>
      </c>
      <c r="C33" s="156">
        <v>483749.14</v>
      </c>
      <c r="D33" s="157">
        <f t="shared" si="8"/>
        <v>1984349.1400000001</v>
      </c>
      <c r="E33" s="156">
        <v>1467338.97</v>
      </c>
      <c r="F33" s="156">
        <v>1467338.97</v>
      </c>
      <c r="G33" s="80">
        <f t="shared" si="9"/>
        <v>517010.17000000016</v>
      </c>
    </row>
    <row r="34" spans="1:7" x14ac:dyDescent="0.25">
      <c r="A34" s="84" t="s">
        <v>310</v>
      </c>
      <c r="B34" s="156">
        <v>216000</v>
      </c>
      <c r="C34" s="156">
        <v>123742.74</v>
      </c>
      <c r="D34" s="157">
        <f t="shared" si="8"/>
        <v>339742.74</v>
      </c>
      <c r="E34" s="156">
        <v>339742.74</v>
      </c>
      <c r="F34" s="156">
        <v>339742.74</v>
      </c>
      <c r="G34" s="80">
        <f t="shared" si="9"/>
        <v>0</v>
      </c>
    </row>
    <row r="35" spans="1:7" x14ac:dyDescent="0.25">
      <c r="A35" s="84" t="s">
        <v>311</v>
      </c>
      <c r="B35" s="156">
        <v>372700</v>
      </c>
      <c r="C35" s="156">
        <v>99442.53</v>
      </c>
      <c r="D35" s="157">
        <f t="shared" si="8"/>
        <v>472142.53</v>
      </c>
      <c r="E35" s="156">
        <v>329287.76</v>
      </c>
      <c r="F35" s="156">
        <v>329287.76</v>
      </c>
      <c r="G35" s="80">
        <f t="shared" si="9"/>
        <v>142854.77000000002</v>
      </c>
    </row>
    <row r="36" spans="1:7" x14ac:dyDescent="0.25">
      <c r="A36" s="84" t="s">
        <v>312</v>
      </c>
      <c r="B36" s="156">
        <v>5196400</v>
      </c>
      <c r="C36" s="156">
        <v>-19204.439999999999</v>
      </c>
      <c r="D36" s="157">
        <f t="shared" si="8"/>
        <v>5177195.5599999996</v>
      </c>
      <c r="E36" s="156">
        <v>1874327.82</v>
      </c>
      <c r="F36" s="156">
        <v>1851127.82</v>
      </c>
      <c r="G36" s="80">
        <f t="shared" si="9"/>
        <v>3302867.7399999993</v>
      </c>
    </row>
    <row r="37" spans="1:7" x14ac:dyDescent="0.25">
      <c r="A37" s="84" t="s">
        <v>313</v>
      </c>
      <c r="B37" s="156">
        <v>778744.81</v>
      </c>
      <c r="C37" s="156">
        <v>-165985.47</v>
      </c>
      <c r="D37" s="157">
        <f t="shared" si="8"/>
        <v>612759.34000000008</v>
      </c>
      <c r="E37" s="156">
        <v>431500.04</v>
      </c>
      <c r="F37" s="156">
        <v>431500.04</v>
      </c>
      <c r="G37" s="80">
        <f t="shared" si="9"/>
        <v>181259.3000000001</v>
      </c>
    </row>
    <row r="38" spans="1:7" x14ac:dyDescent="0.25">
      <c r="A38" s="83" t="s">
        <v>314</v>
      </c>
      <c r="B38" s="80">
        <f>SUM(B39:B47)</f>
        <v>7822675.1100000003</v>
      </c>
      <c r="C38" s="80">
        <f t="shared" ref="C38:G38" si="10">SUM(C39:C47)</f>
        <v>1031389.55</v>
      </c>
      <c r="D38" s="80">
        <f t="shared" si="10"/>
        <v>8854064.6600000001</v>
      </c>
      <c r="E38" s="80">
        <f t="shared" si="10"/>
        <v>6376137.6299999999</v>
      </c>
      <c r="F38" s="80">
        <f t="shared" si="10"/>
        <v>6355137.6299999999</v>
      </c>
      <c r="G38" s="80">
        <f t="shared" si="10"/>
        <v>2477927.0299999998</v>
      </c>
    </row>
    <row r="39" spans="1:7" x14ac:dyDescent="0.25">
      <c r="A39" s="84" t="s">
        <v>315</v>
      </c>
      <c r="B39" s="157"/>
      <c r="C39" s="157"/>
      <c r="D39" s="157">
        <f t="shared" ref="D39:D47" si="11">B39+C39</f>
        <v>0</v>
      </c>
      <c r="E39" s="157"/>
      <c r="F39" s="157"/>
      <c r="G39" s="80">
        <f>D39-E39</f>
        <v>0</v>
      </c>
    </row>
    <row r="40" spans="1:7" x14ac:dyDescent="0.25">
      <c r="A40" s="84" t="s">
        <v>316</v>
      </c>
      <c r="B40" s="156">
        <v>4180000</v>
      </c>
      <c r="C40" s="156">
        <v>-215850.74</v>
      </c>
      <c r="D40" s="157">
        <f t="shared" si="11"/>
        <v>3964149.26</v>
      </c>
      <c r="E40" s="156">
        <v>2043288.26</v>
      </c>
      <c r="F40" s="156">
        <v>2043288.26</v>
      </c>
      <c r="G40" s="80">
        <f t="shared" ref="G40:G47" si="12">D40-E40</f>
        <v>1920860.9999999998</v>
      </c>
    </row>
    <row r="41" spans="1:7" x14ac:dyDescent="0.25">
      <c r="A41" s="84" t="s">
        <v>317</v>
      </c>
      <c r="B41" s="156">
        <v>1591675.11</v>
      </c>
      <c r="C41" s="156">
        <v>687130.29</v>
      </c>
      <c r="D41" s="157">
        <f t="shared" si="11"/>
        <v>2278805.4000000004</v>
      </c>
      <c r="E41" s="156">
        <v>2278805.4</v>
      </c>
      <c r="F41" s="156">
        <v>2278805.4</v>
      </c>
      <c r="G41" s="80">
        <f t="shared" si="12"/>
        <v>0</v>
      </c>
    </row>
    <row r="42" spans="1:7" x14ac:dyDescent="0.25">
      <c r="A42" s="84" t="s">
        <v>318</v>
      </c>
      <c r="B42" s="156">
        <v>2051000</v>
      </c>
      <c r="C42" s="156">
        <v>560110</v>
      </c>
      <c r="D42" s="157">
        <f t="shared" si="11"/>
        <v>2611110</v>
      </c>
      <c r="E42" s="156">
        <v>2054043.97</v>
      </c>
      <c r="F42" s="156">
        <v>2033043.97</v>
      </c>
      <c r="G42" s="80">
        <f t="shared" si="12"/>
        <v>557066.03</v>
      </c>
    </row>
    <row r="43" spans="1:7" x14ac:dyDescent="0.25">
      <c r="A43" s="84" t="s">
        <v>319</v>
      </c>
      <c r="B43" s="157"/>
      <c r="C43" s="157"/>
      <c r="D43" s="157">
        <f t="shared" si="11"/>
        <v>0</v>
      </c>
      <c r="E43" s="157"/>
      <c r="F43" s="157"/>
      <c r="G43" s="80">
        <f t="shared" si="12"/>
        <v>0</v>
      </c>
    </row>
    <row r="44" spans="1:7" x14ac:dyDescent="0.25">
      <c r="A44" s="84" t="s">
        <v>320</v>
      </c>
      <c r="B44" s="157"/>
      <c r="C44" s="157"/>
      <c r="D44" s="157">
        <f t="shared" si="11"/>
        <v>0</v>
      </c>
      <c r="E44" s="157"/>
      <c r="F44" s="157"/>
      <c r="G44" s="80">
        <f t="shared" si="12"/>
        <v>0</v>
      </c>
    </row>
    <row r="45" spans="1:7" x14ac:dyDescent="0.25">
      <c r="A45" s="84" t="s">
        <v>321</v>
      </c>
      <c r="B45" s="157"/>
      <c r="C45" s="157"/>
      <c r="D45" s="157">
        <f t="shared" si="11"/>
        <v>0</v>
      </c>
      <c r="E45" s="157"/>
      <c r="F45" s="157"/>
      <c r="G45" s="80">
        <f t="shared" si="12"/>
        <v>0</v>
      </c>
    </row>
    <row r="46" spans="1:7" x14ac:dyDescent="0.25">
      <c r="A46" s="84" t="s">
        <v>322</v>
      </c>
      <c r="B46" s="157"/>
      <c r="C46" s="157"/>
      <c r="D46" s="157">
        <f t="shared" si="11"/>
        <v>0</v>
      </c>
      <c r="E46" s="157"/>
      <c r="F46" s="157"/>
      <c r="G46" s="80">
        <f t="shared" si="12"/>
        <v>0</v>
      </c>
    </row>
    <row r="47" spans="1:7" x14ac:dyDescent="0.25">
      <c r="A47" s="84" t="s">
        <v>323</v>
      </c>
      <c r="B47" s="157"/>
      <c r="C47" s="157"/>
      <c r="D47" s="157">
        <f t="shared" si="11"/>
        <v>0</v>
      </c>
      <c r="E47" s="157"/>
      <c r="F47" s="157"/>
      <c r="G47" s="80">
        <f t="shared" si="12"/>
        <v>0</v>
      </c>
    </row>
    <row r="48" spans="1:7" x14ac:dyDescent="0.25">
      <c r="A48" s="83" t="s">
        <v>324</v>
      </c>
      <c r="B48" s="80">
        <f>SUM(B49:B57)</f>
        <v>202450</v>
      </c>
      <c r="C48" s="80">
        <f t="shared" ref="C48:G48" si="13">SUM(C49:C57)</f>
        <v>74668.010000000009</v>
      </c>
      <c r="D48" s="80">
        <f t="shared" si="13"/>
        <v>277118.01</v>
      </c>
      <c r="E48" s="80">
        <f t="shared" si="13"/>
        <v>211158.59</v>
      </c>
      <c r="F48" s="80">
        <f t="shared" si="13"/>
        <v>211158.59</v>
      </c>
      <c r="G48" s="80">
        <f t="shared" si="13"/>
        <v>65959.420000000013</v>
      </c>
    </row>
    <row r="49" spans="1:7" x14ac:dyDescent="0.25">
      <c r="A49" s="84" t="s">
        <v>325</v>
      </c>
      <c r="B49" s="156">
        <v>113850</v>
      </c>
      <c r="C49" s="156">
        <v>74519</v>
      </c>
      <c r="D49" s="157">
        <f t="shared" ref="D49:D57" si="14">B49+C49</f>
        <v>188369</v>
      </c>
      <c r="E49" s="156">
        <v>163708.57999999999</v>
      </c>
      <c r="F49" s="156">
        <v>163708.57999999999</v>
      </c>
      <c r="G49" s="80">
        <f>D49-E49</f>
        <v>24660.420000000013</v>
      </c>
    </row>
    <row r="50" spans="1:7" x14ac:dyDescent="0.25">
      <c r="A50" s="84" t="s">
        <v>326</v>
      </c>
      <c r="B50" s="156">
        <v>0</v>
      </c>
      <c r="C50" s="156">
        <v>47450.01</v>
      </c>
      <c r="D50" s="157">
        <f t="shared" si="14"/>
        <v>47450.01</v>
      </c>
      <c r="E50" s="156">
        <v>47450.01</v>
      </c>
      <c r="F50" s="156">
        <v>47450.01</v>
      </c>
      <c r="G50" s="80">
        <f t="shared" ref="G50:G57" si="15">D50-E50</f>
        <v>0</v>
      </c>
    </row>
    <row r="51" spans="1:7" x14ac:dyDescent="0.25">
      <c r="A51" s="84" t="s">
        <v>327</v>
      </c>
      <c r="B51" s="157"/>
      <c r="C51" s="157"/>
      <c r="D51" s="157">
        <f t="shared" si="14"/>
        <v>0</v>
      </c>
      <c r="E51" s="157"/>
      <c r="F51" s="157"/>
      <c r="G51" s="80">
        <f t="shared" si="15"/>
        <v>0</v>
      </c>
    </row>
    <row r="52" spans="1:7" x14ac:dyDescent="0.25">
      <c r="A52" s="84" t="s">
        <v>328</v>
      </c>
      <c r="B52" s="157"/>
      <c r="C52" s="157"/>
      <c r="D52" s="157">
        <f t="shared" si="14"/>
        <v>0</v>
      </c>
      <c r="E52" s="157"/>
      <c r="F52" s="157"/>
      <c r="G52" s="80">
        <f t="shared" si="15"/>
        <v>0</v>
      </c>
    </row>
    <row r="53" spans="1:7" x14ac:dyDescent="0.25">
      <c r="A53" s="84" t="s">
        <v>329</v>
      </c>
      <c r="B53" s="157"/>
      <c r="C53" s="157"/>
      <c r="D53" s="157">
        <f t="shared" si="14"/>
        <v>0</v>
      </c>
      <c r="E53" s="157"/>
      <c r="F53" s="157"/>
      <c r="G53" s="80">
        <f t="shared" si="15"/>
        <v>0</v>
      </c>
    </row>
    <row r="54" spans="1:7" x14ac:dyDescent="0.25">
      <c r="A54" s="84" t="s">
        <v>330</v>
      </c>
      <c r="B54" s="156">
        <v>83600</v>
      </c>
      <c r="C54" s="156">
        <v>-47301</v>
      </c>
      <c r="D54" s="157">
        <f t="shared" si="14"/>
        <v>36299</v>
      </c>
      <c r="E54" s="156">
        <v>0</v>
      </c>
      <c r="F54" s="156">
        <v>0</v>
      </c>
      <c r="G54" s="80">
        <f t="shared" si="15"/>
        <v>36299</v>
      </c>
    </row>
    <row r="55" spans="1:7" x14ac:dyDescent="0.25">
      <c r="A55" s="84" t="s">
        <v>331</v>
      </c>
      <c r="B55" s="157"/>
      <c r="C55" s="157"/>
      <c r="D55" s="157">
        <f t="shared" si="14"/>
        <v>0</v>
      </c>
      <c r="E55" s="157"/>
      <c r="F55" s="157"/>
      <c r="G55" s="80">
        <f t="shared" si="15"/>
        <v>0</v>
      </c>
    </row>
    <row r="56" spans="1:7" x14ac:dyDescent="0.25">
      <c r="A56" s="84" t="s">
        <v>332</v>
      </c>
      <c r="B56" s="157"/>
      <c r="C56" s="157"/>
      <c r="D56" s="157">
        <f t="shared" si="14"/>
        <v>0</v>
      </c>
      <c r="E56" s="157"/>
      <c r="F56" s="157"/>
      <c r="G56" s="80">
        <f t="shared" si="15"/>
        <v>0</v>
      </c>
    </row>
    <row r="57" spans="1:7" x14ac:dyDescent="0.25">
      <c r="A57" s="84" t="s">
        <v>333</v>
      </c>
      <c r="B57" s="156">
        <v>5000</v>
      </c>
      <c r="C57" s="156">
        <v>0</v>
      </c>
      <c r="D57" s="157">
        <f t="shared" si="14"/>
        <v>5000</v>
      </c>
      <c r="E57" s="156">
        <v>0</v>
      </c>
      <c r="F57" s="156">
        <v>0</v>
      </c>
      <c r="G57" s="80">
        <f t="shared" si="15"/>
        <v>5000</v>
      </c>
    </row>
    <row r="58" spans="1:7" x14ac:dyDescent="0.25">
      <c r="A58" s="83" t="s">
        <v>334</v>
      </c>
      <c r="B58" s="80">
        <f>SUM(B59:B61)</f>
        <v>19500</v>
      </c>
      <c r="C58" s="80">
        <f t="shared" ref="C58:G58" si="16">SUM(C59:C61)</f>
        <v>611164</v>
      </c>
      <c r="D58" s="80">
        <f t="shared" si="16"/>
        <v>630664</v>
      </c>
      <c r="E58" s="80">
        <f t="shared" si="16"/>
        <v>586311.53</v>
      </c>
      <c r="F58" s="80">
        <f t="shared" si="16"/>
        <v>586311.53</v>
      </c>
      <c r="G58" s="80">
        <f t="shared" si="16"/>
        <v>44352.469999999972</v>
      </c>
    </row>
    <row r="59" spans="1:7" x14ac:dyDescent="0.25">
      <c r="A59" s="84" t="s">
        <v>335</v>
      </c>
      <c r="B59" s="156">
        <v>0</v>
      </c>
      <c r="C59" s="156">
        <v>559544</v>
      </c>
      <c r="D59" s="157">
        <f t="shared" ref="D59:D61" si="17">B59+C59</f>
        <v>559544</v>
      </c>
      <c r="E59" s="156">
        <v>534691.53</v>
      </c>
      <c r="F59" s="156">
        <v>534691.53</v>
      </c>
      <c r="G59" s="80">
        <f>D59-E59</f>
        <v>24852.469999999972</v>
      </c>
    </row>
    <row r="60" spans="1:7" x14ac:dyDescent="0.25">
      <c r="A60" s="84" t="s">
        <v>336</v>
      </c>
      <c r="B60" s="157"/>
      <c r="C60" s="157"/>
      <c r="D60" s="157">
        <f t="shared" si="17"/>
        <v>0</v>
      </c>
      <c r="E60" s="157"/>
      <c r="F60" s="157"/>
      <c r="G60" s="80">
        <f t="shared" ref="G60:G61" si="18">D60-E60</f>
        <v>0</v>
      </c>
    </row>
    <row r="61" spans="1:7" x14ac:dyDescent="0.25">
      <c r="A61" s="84" t="s">
        <v>337</v>
      </c>
      <c r="B61" s="156">
        <v>19500</v>
      </c>
      <c r="C61" s="156">
        <v>51620</v>
      </c>
      <c r="D61" s="157">
        <f t="shared" si="17"/>
        <v>71120</v>
      </c>
      <c r="E61" s="156">
        <v>51620</v>
      </c>
      <c r="F61" s="156">
        <v>51620</v>
      </c>
      <c r="G61" s="80">
        <f t="shared" si="18"/>
        <v>19500</v>
      </c>
    </row>
    <row r="62" spans="1:7" x14ac:dyDescent="0.25">
      <c r="A62" s="83" t="s">
        <v>338</v>
      </c>
      <c r="B62" s="80"/>
      <c r="C62" s="80"/>
      <c r="D62" s="80"/>
      <c r="E62" s="80"/>
      <c r="F62" s="80"/>
      <c r="G62" s="80">
        <f t="shared" ref="G62" si="19">SUM(G63:G67,G69:G70)</f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20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20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20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20"/>
        <v>0</v>
      </c>
    </row>
    <row r="68" spans="1:7" x14ac:dyDescent="0.25">
      <c r="A68" s="84" t="s">
        <v>3302</v>
      </c>
      <c r="B68" s="80"/>
      <c r="C68" s="80"/>
      <c r="D68" s="80"/>
      <c r="E68" s="80"/>
      <c r="F68" s="80"/>
      <c r="G68" s="80">
        <f t="shared" si="20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20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20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1">SUM(C72:C74)</f>
        <v>827643.1</v>
      </c>
      <c r="D71" s="80">
        <f t="shared" si="21"/>
        <v>827643.1</v>
      </c>
      <c r="E71" s="80">
        <f t="shared" si="21"/>
        <v>827643.1</v>
      </c>
      <c r="F71" s="80">
        <f t="shared" si="21"/>
        <v>827643.1</v>
      </c>
      <c r="G71" s="80">
        <f t="shared" si="21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22">D73-E73</f>
        <v>0</v>
      </c>
    </row>
    <row r="74" spans="1:7" x14ac:dyDescent="0.25">
      <c r="A74" s="84" t="s">
        <v>350</v>
      </c>
      <c r="B74" s="156">
        <v>0</v>
      </c>
      <c r="C74" s="156">
        <v>827643.1</v>
      </c>
      <c r="D74" s="157">
        <f t="shared" ref="D74" si="23">B74+C74</f>
        <v>827643.1</v>
      </c>
      <c r="E74" s="156">
        <v>827643.1</v>
      </c>
      <c r="F74" s="156">
        <v>827643.1</v>
      </c>
      <c r="G74" s="80">
        <f t="shared" si="22"/>
        <v>0</v>
      </c>
    </row>
    <row r="75" spans="1:7" x14ac:dyDescent="0.25">
      <c r="A75" s="83" t="s">
        <v>351</v>
      </c>
      <c r="B75" s="80">
        <f>SUM(B76:B82)</f>
        <v>2560000</v>
      </c>
      <c r="C75" s="80">
        <f t="shared" ref="C75:G75" si="24">SUM(C76:C82)</f>
        <v>-2496742.8199999998</v>
      </c>
      <c r="D75" s="80">
        <f t="shared" si="24"/>
        <v>63257.180000000168</v>
      </c>
      <c r="E75" s="80">
        <f t="shared" si="24"/>
        <v>61875</v>
      </c>
      <c r="F75" s="80">
        <f t="shared" si="24"/>
        <v>61875</v>
      </c>
      <c r="G75" s="80">
        <f t="shared" si="24"/>
        <v>1382.1800000001676</v>
      </c>
    </row>
    <row r="76" spans="1:7" x14ac:dyDescent="0.25">
      <c r="A76" s="84" t="s">
        <v>352</v>
      </c>
      <c r="B76" s="156">
        <v>2500000</v>
      </c>
      <c r="C76" s="156">
        <v>-2499400.8199999998</v>
      </c>
      <c r="D76" s="157">
        <f t="shared" ref="D76:D77" si="25">B76+C76</f>
        <v>599.18000000016764</v>
      </c>
      <c r="E76" s="156">
        <v>0</v>
      </c>
      <c r="F76" s="156">
        <v>0</v>
      </c>
      <c r="G76" s="80">
        <f>D76-E76</f>
        <v>599.18000000016764</v>
      </c>
    </row>
    <row r="77" spans="1:7" x14ac:dyDescent="0.25">
      <c r="A77" s="84" t="s">
        <v>353</v>
      </c>
      <c r="B77" s="156">
        <v>60000</v>
      </c>
      <c r="C77" s="156">
        <v>2658</v>
      </c>
      <c r="D77" s="157">
        <f t="shared" si="25"/>
        <v>62658</v>
      </c>
      <c r="E77" s="156">
        <v>61875</v>
      </c>
      <c r="F77" s="156">
        <v>61875</v>
      </c>
      <c r="G77" s="80">
        <f t="shared" ref="G77:G82" si="26">D77-E77</f>
        <v>783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26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26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26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26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26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35700000</v>
      </c>
      <c r="C84" s="79">
        <f t="shared" ref="C84:G84" si="27">SUM(C85,C93,C103,C113,C123,C133,C137,C146,C150)</f>
        <v>2971356.08</v>
      </c>
      <c r="D84" s="79">
        <f t="shared" si="27"/>
        <v>38671356.079999998</v>
      </c>
      <c r="E84" s="79">
        <f t="shared" si="27"/>
        <v>6299532.0700000003</v>
      </c>
      <c r="F84" s="79">
        <f t="shared" si="27"/>
        <v>6299532.0700000003</v>
      </c>
      <c r="G84" s="79">
        <f t="shared" si="27"/>
        <v>32371824.009999998</v>
      </c>
    </row>
    <row r="85" spans="1:7" x14ac:dyDescent="0.25">
      <c r="A85" s="83" t="s">
        <v>286</v>
      </c>
      <c r="B85" s="80">
        <f>SUM(B86:B92)</f>
        <v>5588743.2199999997</v>
      </c>
      <c r="C85" s="80">
        <f t="shared" ref="C85:G85" si="28">SUM(C86:C92)</f>
        <v>0</v>
      </c>
      <c r="D85" s="80">
        <f t="shared" si="28"/>
        <v>5588743.2199999997</v>
      </c>
      <c r="E85" s="80">
        <f t="shared" si="28"/>
        <v>2269924.66</v>
      </c>
      <c r="F85" s="80">
        <f t="shared" si="28"/>
        <v>2269924.66</v>
      </c>
      <c r="G85" s="80">
        <f t="shared" si="28"/>
        <v>3318818.56</v>
      </c>
    </row>
    <row r="86" spans="1:7" x14ac:dyDescent="0.25">
      <c r="A86" s="84" t="s">
        <v>287</v>
      </c>
      <c r="B86" s="156">
        <v>4503071.25</v>
      </c>
      <c r="C86" s="156">
        <v>0</v>
      </c>
      <c r="D86" s="157">
        <f t="shared" ref="D86:D92" si="29">B86+C86</f>
        <v>4503071.25</v>
      </c>
      <c r="E86" s="156">
        <v>2230835.64</v>
      </c>
      <c r="F86" s="156">
        <v>2230835.64</v>
      </c>
      <c r="G86" s="80">
        <f>D86-E86</f>
        <v>2272235.61</v>
      </c>
    </row>
    <row r="87" spans="1:7" x14ac:dyDescent="0.25">
      <c r="A87" s="84" t="s">
        <v>288</v>
      </c>
      <c r="B87" s="157"/>
      <c r="C87" s="157"/>
      <c r="D87" s="157">
        <f t="shared" si="29"/>
        <v>0</v>
      </c>
      <c r="E87" s="157"/>
      <c r="F87" s="157"/>
      <c r="G87" s="80">
        <f t="shared" ref="G87:G92" si="30">D87-E87</f>
        <v>0</v>
      </c>
    </row>
    <row r="88" spans="1:7" x14ac:dyDescent="0.25">
      <c r="A88" s="84" t="s">
        <v>289</v>
      </c>
      <c r="B88" s="156">
        <v>567510.35</v>
      </c>
      <c r="C88" s="156">
        <v>0</v>
      </c>
      <c r="D88" s="157">
        <f t="shared" si="29"/>
        <v>567510.35</v>
      </c>
      <c r="E88" s="156">
        <v>39089.019999999997</v>
      </c>
      <c r="F88" s="156">
        <v>39089.019999999997</v>
      </c>
      <c r="G88" s="80">
        <f t="shared" si="30"/>
        <v>528421.32999999996</v>
      </c>
    </row>
    <row r="89" spans="1:7" x14ac:dyDescent="0.25">
      <c r="A89" s="84" t="s">
        <v>290</v>
      </c>
      <c r="B89" s="157"/>
      <c r="C89" s="157"/>
      <c r="D89" s="157">
        <f t="shared" si="29"/>
        <v>0</v>
      </c>
      <c r="E89" s="157"/>
      <c r="F89" s="157"/>
      <c r="G89" s="80">
        <f t="shared" si="30"/>
        <v>0</v>
      </c>
    </row>
    <row r="90" spans="1:7" x14ac:dyDescent="0.25">
      <c r="A90" s="84" t="s">
        <v>291</v>
      </c>
      <c r="B90" s="157"/>
      <c r="C90" s="157"/>
      <c r="D90" s="157">
        <f t="shared" si="29"/>
        <v>0</v>
      </c>
      <c r="E90" s="157"/>
      <c r="F90" s="157"/>
      <c r="G90" s="80">
        <f t="shared" si="30"/>
        <v>0</v>
      </c>
    </row>
    <row r="91" spans="1:7" x14ac:dyDescent="0.25">
      <c r="A91" s="84" t="s">
        <v>292</v>
      </c>
      <c r="B91" s="156">
        <v>518161.62</v>
      </c>
      <c r="C91" s="156">
        <v>0</v>
      </c>
      <c r="D91" s="157">
        <f t="shared" si="29"/>
        <v>518161.62</v>
      </c>
      <c r="E91" s="156">
        <v>0</v>
      </c>
      <c r="F91" s="156">
        <v>0</v>
      </c>
      <c r="G91" s="80">
        <f t="shared" si="30"/>
        <v>518161.62</v>
      </c>
    </row>
    <row r="92" spans="1:7" x14ac:dyDescent="0.25">
      <c r="A92" s="84" t="s">
        <v>293</v>
      </c>
      <c r="B92" s="157"/>
      <c r="C92" s="157"/>
      <c r="D92" s="157">
        <f t="shared" si="29"/>
        <v>0</v>
      </c>
      <c r="E92" s="157"/>
      <c r="F92" s="157"/>
      <c r="G92" s="80">
        <f t="shared" si="30"/>
        <v>0</v>
      </c>
    </row>
    <row r="93" spans="1:7" x14ac:dyDescent="0.25">
      <c r="A93" s="83" t="s">
        <v>294</v>
      </c>
      <c r="B93" s="80">
        <f>SUM(B94:B102)</f>
        <v>2427313.4499999997</v>
      </c>
      <c r="C93" s="80">
        <f t="shared" ref="C93:G93" si="31">SUM(C94:C102)</f>
        <v>-706.84</v>
      </c>
      <c r="D93" s="80">
        <f t="shared" si="31"/>
        <v>2426606.61</v>
      </c>
      <c r="E93" s="80">
        <f t="shared" si="31"/>
        <v>967814.2</v>
      </c>
      <c r="F93" s="80">
        <f t="shared" si="31"/>
        <v>967814.2</v>
      </c>
      <c r="G93" s="80">
        <f t="shared" si="31"/>
        <v>1458792.4099999997</v>
      </c>
    </row>
    <row r="94" spans="1:7" x14ac:dyDescent="0.25">
      <c r="A94" s="84" t="s">
        <v>295</v>
      </c>
      <c r="B94" s="157"/>
      <c r="C94" s="157"/>
      <c r="D94" s="157">
        <f t="shared" ref="D94:D102" si="32">B94+C94</f>
        <v>0</v>
      </c>
      <c r="E94" s="157"/>
      <c r="F94" s="157"/>
      <c r="G94" s="80">
        <f>D94-E94</f>
        <v>0</v>
      </c>
    </row>
    <row r="95" spans="1:7" x14ac:dyDescent="0.25">
      <c r="A95" s="84" t="s">
        <v>296</v>
      </c>
      <c r="B95" s="157"/>
      <c r="C95" s="157"/>
      <c r="D95" s="157">
        <f t="shared" si="32"/>
        <v>0</v>
      </c>
      <c r="E95" s="157"/>
      <c r="F95" s="157"/>
      <c r="G95" s="80">
        <f t="shared" ref="G95:G102" si="33">D95-E95</f>
        <v>0</v>
      </c>
    </row>
    <row r="96" spans="1:7" x14ac:dyDescent="0.25">
      <c r="A96" s="84" t="s">
        <v>297</v>
      </c>
      <c r="B96" s="157"/>
      <c r="C96" s="157"/>
      <c r="D96" s="157">
        <f t="shared" si="32"/>
        <v>0</v>
      </c>
      <c r="E96" s="157"/>
      <c r="F96" s="157"/>
      <c r="G96" s="80">
        <f t="shared" si="33"/>
        <v>0</v>
      </c>
    </row>
    <row r="97" spans="1:7" x14ac:dyDescent="0.25">
      <c r="A97" s="84" t="s">
        <v>298</v>
      </c>
      <c r="B97" s="156">
        <v>990545.32</v>
      </c>
      <c r="C97" s="156">
        <v>0</v>
      </c>
      <c r="D97" s="157">
        <f t="shared" si="32"/>
        <v>990545.32</v>
      </c>
      <c r="E97" s="156">
        <v>0</v>
      </c>
      <c r="F97" s="156">
        <v>0</v>
      </c>
      <c r="G97" s="80">
        <f t="shared" si="33"/>
        <v>990545.32</v>
      </c>
    </row>
    <row r="98" spans="1:7" x14ac:dyDescent="0.25">
      <c r="A98" s="42" t="s">
        <v>299</v>
      </c>
      <c r="B98" s="157"/>
      <c r="C98" s="157"/>
      <c r="D98" s="157">
        <f t="shared" si="32"/>
        <v>0</v>
      </c>
      <c r="E98" s="157"/>
      <c r="F98" s="157"/>
      <c r="G98" s="80">
        <f t="shared" si="33"/>
        <v>0</v>
      </c>
    </row>
    <row r="99" spans="1:7" x14ac:dyDescent="0.25">
      <c r="A99" s="84" t="s">
        <v>300</v>
      </c>
      <c r="B99" s="156">
        <v>1436768.13</v>
      </c>
      <c r="C99" s="156">
        <v>-706.84</v>
      </c>
      <c r="D99" s="157">
        <f t="shared" si="32"/>
        <v>1436061.2899999998</v>
      </c>
      <c r="E99" s="156">
        <v>967814.2</v>
      </c>
      <c r="F99" s="156">
        <v>967814.2</v>
      </c>
      <c r="G99" s="80">
        <f t="shared" si="33"/>
        <v>468247.08999999985</v>
      </c>
    </row>
    <row r="100" spans="1:7" x14ac:dyDescent="0.25">
      <c r="A100" s="84" t="s">
        <v>301</v>
      </c>
      <c r="B100" s="157"/>
      <c r="C100" s="157"/>
      <c r="D100" s="157">
        <f t="shared" si="32"/>
        <v>0</v>
      </c>
      <c r="E100" s="157"/>
      <c r="F100" s="157"/>
      <c r="G100" s="80">
        <f t="shared" si="33"/>
        <v>0</v>
      </c>
    </row>
    <row r="101" spans="1:7" x14ac:dyDescent="0.25">
      <c r="A101" s="84" t="s">
        <v>302</v>
      </c>
      <c r="B101" s="157"/>
      <c r="C101" s="157"/>
      <c r="D101" s="157">
        <f t="shared" si="32"/>
        <v>0</v>
      </c>
      <c r="E101" s="157"/>
      <c r="F101" s="157"/>
      <c r="G101" s="80">
        <f t="shared" si="33"/>
        <v>0</v>
      </c>
    </row>
    <row r="102" spans="1:7" x14ac:dyDescent="0.25">
      <c r="A102" s="84" t="s">
        <v>303</v>
      </c>
      <c r="B102" s="157"/>
      <c r="C102" s="157"/>
      <c r="D102" s="157">
        <f t="shared" si="32"/>
        <v>0</v>
      </c>
      <c r="E102" s="157"/>
      <c r="F102" s="157"/>
      <c r="G102" s="80">
        <f t="shared" si="33"/>
        <v>0</v>
      </c>
    </row>
    <row r="103" spans="1:7" x14ac:dyDescent="0.25">
      <c r="A103" s="83" t="s">
        <v>304</v>
      </c>
      <c r="B103" s="80">
        <f>SUM(B104:B112)</f>
        <v>127143.72</v>
      </c>
      <c r="C103" s="80">
        <f>SUM(C104:C112)</f>
        <v>200706.84</v>
      </c>
      <c r="D103" s="80">
        <f t="shared" ref="D103:G103" si="34">SUM(D104:D112)</f>
        <v>327850.56</v>
      </c>
      <c r="E103" s="80">
        <f t="shared" si="34"/>
        <v>127850.56</v>
      </c>
      <c r="F103" s="80">
        <f t="shared" si="34"/>
        <v>127850.56</v>
      </c>
      <c r="G103" s="80">
        <f t="shared" si="34"/>
        <v>200000</v>
      </c>
    </row>
    <row r="104" spans="1:7" x14ac:dyDescent="0.25">
      <c r="A104" s="84" t="s">
        <v>305</v>
      </c>
      <c r="B104" s="157"/>
      <c r="C104" s="157"/>
      <c r="D104" s="157">
        <f t="shared" ref="D104:D112" si="35">B104+C104</f>
        <v>0</v>
      </c>
      <c r="E104" s="157"/>
      <c r="F104" s="157"/>
      <c r="G104" s="80">
        <f>D104-E104</f>
        <v>0</v>
      </c>
    </row>
    <row r="105" spans="1:7" x14ac:dyDescent="0.25">
      <c r="A105" s="84" t="s">
        <v>306</v>
      </c>
      <c r="B105" s="157"/>
      <c r="C105" s="157"/>
      <c r="D105" s="157">
        <f t="shared" si="35"/>
        <v>0</v>
      </c>
      <c r="E105" s="157"/>
      <c r="F105" s="157"/>
      <c r="G105" s="80">
        <f t="shared" ref="G105:G112" si="36">D105-E105</f>
        <v>0</v>
      </c>
    </row>
    <row r="106" spans="1:7" x14ac:dyDescent="0.25">
      <c r="A106" s="84" t="s">
        <v>307</v>
      </c>
      <c r="B106" s="156">
        <v>0</v>
      </c>
      <c r="C106" s="156">
        <v>200000</v>
      </c>
      <c r="D106" s="157">
        <f t="shared" si="35"/>
        <v>200000</v>
      </c>
      <c r="E106" s="156">
        <v>0</v>
      </c>
      <c r="F106" s="156">
        <v>0</v>
      </c>
      <c r="G106" s="80">
        <f t="shared" si="36"/>
        <v>200000</v>
      </c>
    </row>
    <row r="107" spans="1:7" x14ac:dyDescent="0.25">
      <c r="A107" s="84" t="s">
        <v>308</v>
      </c>
      <c r="B107" s="157"/>
      <c r="C107" s="157"/>
      <c r="D107" s="157">
        <f t="shared" si="35"/>
        <v>0</v>
      </c>
      <c r="E107" s="157"/>
      <c r="F107" s="157"/>
      <c r="G107" s="80">
        <f t="shared" si="36"/>
        <v>0</v>
      </c>
    </row>
    <row r="108" spans="1:7" x14ac:dyDescent="0.25">
      <c r="A108" s="84" t="s">
        <v>309</v>
      </c>
      <c r="B108" s="156">
        <v>127143.72</v>
      </c>
      <c r="C108" s="156">
        <v>706.84</v>
      </c>
      <c r="D108" s="157">
        <f t="shared" si="35"/>
        <v>127850.56</v>
      </c>
      <c r="E108" s="156">
        <v>127850.56</v>
      </c>
      <c r="F108" s="156">
        <v>127850.56</v>
      </c>
      <c r="G108" s="80">
        <f t="shared" si="36"/>
        <v>0</v>
      </c>
    </row>
    <row r="109" spans="1:7" x14ac:dyDescent="0.25">
      <c r="A109" s="84" t="s">
        <v>310</v>
      </c>
      <c r="B109" s="157"/>
      <c r="C109" s="157"/>
      <c r="D109" s="157">
        <f t="shared" si="35"/>
        <v>0</v>
      </c>
      <c r="E109" s="157"/>
      <c r="F109" s="157"/>
      <c r="G109" s="80">
        <f t="shared" si="36"/>
        <v>0</v>
      </c>
    </row>
    <row r="110" spans="1:7" x14ac:dyDescent="0.25">
      <c r="A110" s="84" t="s">
        <v>311</v>
      </c>
      <c r="B110" s="157"/>
      <c r="C110" s="157"/>
      <c r="D110" s="157">
        <f t="shared" si="35"/>
        <v>0</v>
      </c>
      <c r="E110" s="157"/>
      <c r="F110" s="157"/>
      <c r="G110" s="80">
        <f t="shared" si="36"/>
        <v>0</v>
      </c>
    </row>
    <row r="111" spans="1:7" x14ac:dyDescent="0.25">
      <c r="A111" s="84" t="s">
        <v>312</v>
      </c>
      <c r="B111" s="157"/>
      <c r="C111" s="157"/>
      <c r="D111" s="157">
        <f t="shared" si="35"/>
        <v>0</v>
      </c>
      <c r="E111" s="157"/>
      <c r="F111" s="157"/>
      <c r="G111" s="80">
        <f t="shared" si="36"/>
        <v>0</v>
      </c>
    </row>
    <row r="112" spans="1:7" x14ac:dyDescent="0.25">
      <c r="A112" s="84" t="s">
        <v>313</v>
      </c>
      <c r="B112" s="157"/>
      <c r="C112" s="157"/>
      <c r="D112" s="157">
        <f t="shared" si="35"/>
        <v>0</v>
      </c>
      <c r="E112" s="157"/>
      <c r="F112" s="157"/>
      <c r="G112" s="80">
        <f t="shared" si="36"/>
        <v>0</v>
      </c>
    </row>
    <row r="113" spans="1:7" x14ac:dyDescent="0.25">
      <c r="A113" s="83" t="s">
        <v>314</v>
      </c>
      <c r="B113" s="80">
        <f>SUM(B114:B122)</f>
        <v>1556799.61</v>
      </c>
      <c r="C113" s="80">
        <f t="shared" ref="C113:G113" si="37">SUM(C114:C122)</f>
        <v>1235089.08</v>
      </c>
      <c r="D113" s="80">
        <f t="shared" si="37"/>
        <v>2791888.6900000004</v>
      </c>
      <c r="E113" s="80">
        <f t="shared" si="37"/>
        <v>325913.82</v>
      </c>
      <c r="F113" s="80">
        <f t="shared" si="37"/>
        <v>325913.82</v>
      </c>
      <c r="G113" s="80">
        <f t="shared" si="37"/>
        <v>2465974.87</v>
      </c>
    </row>
    <row r="114" spans="1:7" x14ac:dyDescent="0.25">
      <c r="A114" s="84" t="s">
        <v>315</v>
      </c>
      <c r="B114" s="157"/>
      <c r="C114" s="157"/>
      <c r="D114" s="157">
        <f t="shared" ref="D114:D122" si="38">B114+C114</f>
        <v>0</v>
      </c>
      <c r="E114" s="157"/>
      <c r="F114" s="157"/>
      <c r="G114" s="80">
        <f>D114-E114</f>
        <v>0</v>
      </c>
    </row>
    <row r="115" spans="1:7" x14ac:dyDescent="0.25">
      <c r="A115" s="84" t="s">
        <v>316</v>
      </c>
      <c r="B115" s="157"/>
      <c r="C115" s="157"/>
      <c r="D115" s="157">
        <f t="shared" si="38"/>
        <v>0</v>
      </c>
      <c r="E115" s="157"/>
      <c r="F115" s="157"/>
      <c r="G115" s="80">
        <f t="shared" ref="G115:G122" si="39">D115-E115</f>
        <v>0</v>
      </c>
    </row>
    <row r="116" spans="1:7" x14ac:dyDescent="0.25">
      <c r="A116" s="84" t="s">
        <v>317</v>
      </c>
      <c r="B116" s="156">
        <v>1556799.61</v>
      </c>
      <c r="C116" s="156">
        <v>0</v>
      </c>
      <c r="D116" s="157">
        <f t="shared" si="38"/>
        <v>1556799.61</v>
      </c>
      <c r="E116" s="156">
        <v>0</v>
      </c>
      <c r="F116" s="156">
        <v>0</v>
      </c>
      <c r="G116" s="80">
        <f t="shared" si="39"/>
        <v>1556799.61</v>
      </c>
    </row>
    <row r="117" spans="1:7" x14ac:dyDescent="0.25">
      <c r="A117" s="84" t="s">
        <v>318</v>
      </c>
      <c r="B117" s="156">
        <v>0</v>
      </c>
      <c r="C117" s="156">
        <v>1235089.08</v>
      </c>
      <c r="D117" s="157">
        <f t="shared" si="38"/>
        <v>1235089.08</v>
      </c>
      <c r="E117" s="156">
        <v>325913.82</v>
      </c>
      <c r="F117" s="156">
        <v>325913.82</v>
      </c>
      <c r="G117" s="80">
        <f t="shared" si="39"/>
        <v>909175.26</v>
      </c>
    </row>
    <row r="118" spans="1:7" x14ac:dyDescent="0.25">
      <c r="A118" s="84" t="s">
        <v>319</v>
      </c>
      <c r="B118" s="157"/>
      <c r="C118" s="157"/>
      <c r="D118" s="157">
        <f t="shared" si="38"/>
        <v>0</v>
      </c>
      <c r="E118" s="157"/>
      <c r="F118" s="157"/>
      <c r="G118" s="80">
        <f t="shared" si="39"/>
        <v>0</v>
      </c>
    </row>
    <row r="119" spans="1:7" x14ac:dyDescent="0.25">
      <c r="A119" s="84" t="s">
        <v>320</v>
      </c>
      <c r="B119" s="157"/>
      <c r="C119" s="157"/>
      <c r="D119" s="157">
        <f t="shared" si="38"/>
        <v>0</v>
      </c>
      <c r="E119" s="157"/>
      <c r="F119" s="157"/>
      <c r="G119" s="80">
        <f t="shared" si="39"/>
        <v>0</v>
      </c>
    </row>
    <row r="120" spans="1:7" x14ac:dyDescent="0.25">
      <c r="A120" s="84" t="s">
        <v>321</v>
      </c>
      <c r="B120" s="157"/>
      <c r="C120" s="157"/>
      <c r="D120" s="157">
        <f t="shared" si="38"/>
        <v>0</v>
      </c>
      <c r="E120" s="157"/>
      <c r="F120" s="157"/>
      <c r="G120" s="80">
        <f t="shared" si="39"/>
        <v>0</v>
      </c>
    </row>
    <row r="121" spans="1:7" x14ac:dyDescent="0.25">
      <c r="A121" s="84" t="s">
        <v>322</v>
      </c>
      <c r="B121" s="157"/>
      <c r="C121" s="157"/>
      <c r="D121" s="157">
        <f t="shared" si="38"/>
        <v>0</v>
      </c>
      <c r="E121" s="157"/>
      <c r="F121" s="157"/>
      <c r="G121" s="80">
        <f t="shared" si="39"/>
        <v>0</v>
      </c>
    </row>
    <row r="122" spans="1:7" x14ac:dyDescent="0.25">
      <c r="A122" s="84" t="s">
        <v>323</v>
      </c>
      <c r="B122" s="157"/>
      <c r="C122" s="157"/>
      <c r="D122" s="157">
        <f t="shared" si="38"/>
        <v>0</v>
      </c>
      <c r="E122" s="157"/>
      <c r="F122" s="157"/>
      <c r="G122" s="80">
        <f t="shared" si="39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0">SUM(C124:C132)</f>
        <v>0</v>
      </c>
      <c r="D123" s="80">
        <f t="shared" si="40"/>
        <v>0</v>
      </c>
      <c r="E123" s="80">
        <f t="shared" si="40"/>
        <v>0</v>
      </c>
      <c r="F123" s="80">
        <f t="shared" si="40"/>
        <v>0</v>
      </c>
      <c r="G123" s="80">
        <f t="shared" si="40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41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41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41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41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41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41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41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41"/>
        <v>0</v>
      </c>
    </row>
    <row r="133" spans="1:7" x14ac:dyDescent="0.25">
      <c r="A133" s="83" t="s">
        <v>334</v>
      </c>
      <c r="B133" s="80">
        <f>SUM(B134:B136)</f>
        <v>2500000</v>
      </c>
      <c r="C133" s="80">
        <f t="shared" ref="C133:G133" si="42">SUM(C134:C136)</f>
        <v>1536267</v>
      </c>
      <c r="D133" s="80">
        <f t="shared" si="42"/>
        <v>4036267</v>
      </c>
      <c r="E133" s="80">
        <f t="shared" si="42"/>
        <v>688028.83</v>
      </c>
      <c r="F133" s="80">
        <f t="shared" si="42"/>
        <v>688028.83</v>
      </c>
      <c r="G133" s="80">
        <f t="shared" si="42"/>
        <v>3348238.17</v>
      </c>
    </row>
    <row r="134" spans="1:7" x14ac:dyDescent="0.25">
      <c r="A134" s="84" t="s">
        <v>335</v>
      </c>
      <c r="B134" s="156">
        <v>2500000</v>
      </c>
      <c r="C134" s="156">
        <v>1536267</v>
      </c>
      <c r="D134" s="157">
        <f t="shared" ref="D134" si="43">B134+C134</f>
        <v>4036267</v>
      </c>
      <c r="E134" s="156">
        <v>688028.83</v>
      </c>
      <c r="F134" s="156">
        <v>688028.83</v>
      </c>
      <c r="G134" s="80">
        <f>D134-E134</f>
        <v>3348238.17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44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44"/>
        <v>0</v>
      </c>
    </row>
    <row r="137" spans="1:7" x14ac:dyDescent="0.25">
      <c r="A137" s="83" t="s">
        <v>338</v>
      </c>
      <c r="B137" s="80">
        <f>SUM(B138:B142,B144:B145)</f>
        <v>23500000</v>
      </c>
      <c r="C137" s="80">
        <f t="shared" ref="C137:G137" si="45">SUM(C138:C142,C144:C145)</f>
        <v>-1920000</v>
      </c>
      <c r="D137" s="80">
        <f t="shared" si="45"/>
        <v>21580000</v>
      </c>
      <c r="E137" s="80">
        <f t="shared" si="45"/>
        <v>0</v>
      </c>
      <c r="F137" s="80">
        <f t="shared" si="45"/>
        <v>0</v>
      </c>
      <c r="G137" s="80">
        <f t="shared" si="45"/>
        <v>21580000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46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46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46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46"/>
        <v>0</v>
      </c>
    </row>
    <row r="143" spans="1:7" x14ac:dyDescent="0.25">
      <c r="A143" s="84" t="s">
        <v>3302</v>
      </c>
      <c r="B143" s="80"/>
      <c r="C143" s="80"/>
      <c r="D143" s="80"/>
      <c r="E143" s="80"/>
      <c r="F143" s="80"/>
      <c r="G143" s="80">
        <f t="shared" si="46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46"/>
        <v>0</v>
      </c>
    </row>
    <row r="145" spans="1:7" x14ac:dyDescent="0.25">
      <c r="A145" s="84" t="s">
        <v>346</v>
      </c>
      <c r="B145" s="156">
        <v>23500000</v>
      </c>
      <c r="C145" s="156">
        <v>-1920000</v>
      </c>
      <c r="D145" s="157">
        <f t="shared" ref="D145" si="47">B145+C145</f>
        <v>21580000</v>
      </c>
      <c r="E145" s="156">
        <v>0</v>
      </c>
      <c r="F145" s="156">
        <v>0</v>
      </c>
      <c r="G145" s="80">
        <f t="shared" si="46"/>
        <v>21580000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48">SUM(C147:C149)</f>
        <v>1920000</v>
      </c>
      <c r="D146" s="80">
        <f t="shared" si="48"/>
        <v>1920000</v>
      </c>
      <c r="E146" s="80">
        <f t="shared" si="48"/>
        <v>1920000</v>
      </c>
      <c r="F146" s="80">
        <f t="shared" si="48"/>
        <v>1920000</v>
      </c>
      <c r="G146" s="80">
        <f t="shared" si="48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49">D148-E148</f>
        <v>0</v>
      </c>
    </row>
    <row r="149" spans="1:7" x14ac:dyDescent="0.25">
      <c r="A149" s="84" t="s">
        <v>350</v>
      </c>
      <c r="B149" s="156">
        <v>0</v>
      </c>
      <c r="C149" s="156">
        <v>1920000</v>
      </c>
      <c r="D149" s="157">
        <f t="shared" ref="D149" si="50">B149+C149</f>
        <v>1920000</v>
      </c>
      <c r="E149" s="156">
        <v>1920000</v>
      </c>
      <c r="F149" s="156">
        <v>1920000</v>
      </c>
      <c r="G149" s="80">
        <f t="shared" si="49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51">SUM(C151:C157)</f>
        <v>0</v>
      </c>
      <c r="D150" s="80">
        <f t="shared" si="51"/>
        <v>0</v>
      </c>
      <c r="E150" s="80">
        <f t="shared" si="51"/>
        <v>0</v>
      </c>
      <c r="F150" s="80">
        <f t="shared" si="51"/>
        <v>0</v>
      </c>
      <c r="G150" s="80">
        <f t="shared" si="51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52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52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52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52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52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5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88210940</v>
      </c>
      <c r="C159" s="79">
        <f t="shared" ref="C159:G159" si="53">C9+C84</f>
        <v>3723385.4000000004</v>
      </c>
      <c r="D159" s="79">
        <f t="shared" si="53"/>
        <v>91934325.400000006</v>
      </c>
      <c r="E159" s="79">
        <f t="shared" si="53"/>
        <v>32972589.560000002</v>
      </c>
      <c r="F159" s="79">
        <f t="shared" si="53"/>
        <v>32928389.560000002</v>
      </c>
      <c r="G159" s="79">
        <f t="shared" si="53"/>
        <v>58961735.840000004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52510940</v>
      </c>
      <c r="Q2" s="18">
        <f>'Formato 6 a)'!C9</f>
        <v>752029.3200000003</v>
      </c>
      <c r="R2" s="18">
        <f>'Formato 6 a)'!D9</f>
        <v>53262969.32</v>
      </c>
      <c r="S2" s="18">
        <f>'Formato 6 a)'!E9</f>
        <v>26673057.490000002</v>
      </c>
      <c r="T2" s="18">
        <f>'Formato 6 a)'!F9</f>
        <v>26628857.490000002</v>
      </c>
      <c r="U2" s="18">
        <f>'Formato 6 a)'!G9</f>
        <v>26589911.830000002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27608670.080000002</v>
      </c>
      <c r="Q3" s="18">
        <f>'Formato 6 a)'!C10</f>
        <v>522605.83999999997</v>
      </c>
      <c r="R3" s="18">
        <f>'Formato 6 a)'!D10</f>
        <v>28131275.919999998</v>
      </c>
      <c r="S3" s="18">
        <f>'Formato 6 a)'!E10</f>
        <v>10631200.449999999</v>
      </c>
      <c r="T3" s="18">
        <f>'Formato 6 a)'!F10</f>
        <v>10631200.449999999</v>
      </c>
      <c r="U3" s="18">
        <f>'Formato 6 a)'!G10</f>
        <v>17500075.469999999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19115766.120000001</v>
      </c>
      <c r="Q4" s="18">
        <f>'Formato 6 a)'!C11</f>
        <v>-662.96</v>
      </c>
      <c r="R4" s="18">
        <f>'Formato 6 a)'!D11</f>
        <v>19115103.16</v>
      </c>
      <c r="S4" s="18">
        <f>'Formato 6 a)'!E11</f>
        <v>8571211.7599999998</v>
      </c>
      <c r="T4" s="18">
        <f>'Formato 6 a)'!F11</f>
        <v>8571211.7599999998</v>
      </c>
      <c r="U4" s="18">
        <f>'Formato 6 a)'!G11</f>
        <v>10543891.4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2457300</v>
      </c>
      <c r="Q5" s="18">
        <f>'Formato 6 a)'!C12</f>
        <v>560505.11</v>
      </c>
      <c r="R5" s="18">
        <f>'Formato 6 a)'!D12</f>
        <v>3017805.11</v>
      </c>
      <c r="S5" s="18">
        <f>'Formato 6 a)'!E12</f>
        <v>1235709.98</v>
      </c>
      <c r="T5" s="18">
        <f>'Formato 6 a)'!F12</f>
        <v>1235709.98</v>
      </c>
      <c r="U5" s="18">
        <f>'Formato 6 a)'!G12</f>
        <v>1782095.13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2725410.26</v>
      </c>
      <c r="Q6" s="18">
        <f>'Formato 6 a)'!C13</f>
        <v>39078.839999999997</v>
      </c>
      <c r="R6" s="18">
        <f>'Formato 6 a)'!D13</f>
        <v>2764489.0999999996</v>
      </c>
      <c r="S6" s="18">
        <f>'Formato 6 a)'!E13</f>
        <v>224866.67</v>
      </c>
      <c r="T6" s="18">
        <f>'Formato 6 a)'!F13</f>
        <v>224866.67</v>
      </c>
      <c r="U6" s="18">
        <f>'Formato 6 a)'!G13</f>
        <v>2539622.4299999997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1215241</v>
      </c>
      <c r="Q7" s="18">
        <f>'Formato 6 a)'!C14</f>
        <v>-30419.52</v>
      </c>
      <c r="R7" s="18">
        <f>'Formato 6 a)'!D14</f>
        <v>1184821.48</v>
      </c>
      <c r="S7" s="18">
        <f>'Formato 6 a)'!E14</f>
        <v>407039.62</v>
      </c>
      <c r="T7" s="18">
        <f>'Formato 6 a)'!F14</f>
        <v>407039.62</v>
      </c>
      <c r="U7" s="18">
        <f>'Formato 6 a)'!G14</f>
        <v>777781.86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434188.21</v>
      </c>
      <c r="Q8" s="18">
        <f>'Formato 6 a)'!C15</f>
        <v>0</v>
      </c>
      <c r="R8" s="18">
        <f>'Formato 6 a)'!D15</f>
        <v>434188.21</v>
      </c>
      <c r="S8" s="18">
        <f>'Formato 6 a)'!E15</f>
        <v>192372.42</v>
      </c>
      <c r="T8" s="18">
        <f>'Formato 6 a)'!F15</f>
        <v>192372.42</v>
      </c>
      <c r="U8" s="18">
        <f>'Formato 6 a)'!G15</f>
        <v>241815.79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1660764.49</v>
      </c>
      <c r="Q9" s="18">
        <f>'Formato 6 a)'!C16</f>
        <v>-45895.63</v>
      </c>
      <c r="R9" s="18">
        <f>'Formato 6 a)'!D16</f>
        <v>1614868.86</v>
      </c>
      <c r="S9" s="18">
        <f>'Formato 6 a)'!E16</f>
        <v>0</v>
      </c>
      <c r="T9" s="18">
        <f>'Formato 6 a)'!F16</f>
        <v>0</v>
      </c>
      <c r="U9" s="18">
        <f>'Formato 6 a)'!G16</f>
        <v>1614868.86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4044200</v>
      </c>
      <c r="Q11" s="18">
        <f>'Formato 6 a)'!C18</f>
        <v>-228088.5</v>
      </c>
      <c r="R11" s="18">
        <f>'Formato 6 a)'!D18</f>
        <v>3816111.5</v>
      </c>
      <c r="S11" s="18">
        <f>'Formato 6 a)'!E18</f>
        <v>2476671.56</v>
      </c>
      <c r="T11" s="18">
        <f>'Formato 6 a)'!F18</f>
        <v>2476671.56</v>
      </c>
      <c r="U11" s="18">
        <f>'Formato 6 a)'!G18</f>
        <v>1339439.94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840700</v>
      </c>
      <c r="Q12" s="18">
        <f>'Formato 6 a)'!C19</f>
        <v>-215421.11</v>
      </c>
      <c r="R12" s="18">
        <f>'Formato 6 a)'!D19</f>
        <v>625278.89</v>
      </c>
      <c r="S12" s="18">
        <f>'Formato 6 a)'!E19</f>
        <v>277108.37</v>
      </c>
      <c r="T12" s="18">
        <f>'Formato 6 a)'!F19</f>
        <v>277108.37</v>
      </c>
      <c r="U12" s="18">
        <f>'Formato 6 a)'!G19</f>
        <v>348170.52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355000</v>
      </c>
      <c r="Q13" s="18">
        <f>'Formato 6 a)'!C20</f>
        <v>88058.02</v>
      </c>
      <c r="R13" s="18">
        <f>'Formato 6 a)'!D20</f>
        <v>443058.02</v>
      </c>
      <c r="S13" s="18">
        <f>'Formato 6 a)'!E20</f>
        <v>321413.07</v>
      </c>
      <c r="T13" s="18">
        <f>'Formato 6 a)'!F20</f>
        <v>321413.07</v>
      </c>
      <c r="U13" s="18">
        <f>'Formato 6 a)'!G20</f>
        <v>121644.95000000001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1006700</v>
      </c>
      <c r="Q15" s="18">
        <f>'Formato 6 a)'!C22</f>
        <v>-130922.81</v>
      </c>
      <c r="R15" s="18">
        <f>'Formato 6 a)'!D22</f>
        <v>875777.19</v>
      </c>
      <c r="S15" s="18">
        <f>'Formato 6 a)'!E22</f>
        <v>554889.06000000006</v>
      </c>
      <c r="T15" s="18">
        <f>'Formato 6 a)'!F22</f>
        <v>554889.06000000006</v>
      </c>
      <c r="U15" s="18">
        <f>'Formato 6 a)'!G22</f>
        <v>320888.12999999989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3000</v>
      </c>
      <c r="Q16" s="18">
        <f>'Formato 6 a)'!C23</f>
        <v>41357.5</v>
      </c>
      <c r="R16" s="18">
        <f>'Formato 6 a)'!D23</f>
        <v>44357.5</v>
      </c>
      <c r="S16" s="18">
        <f>'Formato 6 a)'!E23</f>
        <v>41357.5</v>
      </c>
      <c r="T16" s="18">
        <f>'Formato 6 a)'!F23</f>
        <v>41357.5</v>
      </c>
      <c r="U16" s="18">
        <f>'Formato 6 a)'!G23</f>
        <v>3000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1747500</v>
      </c>
      <c r="Q17" s="18">
        <f>'Formato 6 a)'!C24</f>
        <v>-58833.4</v>
      </c>
      <c r="R17" s="18">
        <f>'Formato 6 a)'!D24</f>
        <v>1688666.6</v>
      </c>
      <c r="S17" s="18">
        <f>'Formato 6 a)'!E24</f>
        <v>1181136.57</v>
      </c>
      <c r="T17" s="18">
        <f>'Formato 6 a)'!F24</f>
        <v>1181136.57</v>
      </c>
      <c r="U17" s="18">
        <f>'Formato 6 a)'!G24</f>
        <v>507530.03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62600</v>
      </c>
      <c r="Q18" s="18">
        <f>'Formato 6 a)'!C25</f>
        <v>-3267.61</v>
      </c>
      <c r="R18" s="18">
        <f>'Formato 6 a)'!D25</f>
        <v>59332.39</v>
      </c>
      <c r="S18" s="18">
        <f>'Formato 6 a)'!E25</f>
        <v>39817.61</v>
      </c>
      <c r="T18" s="18">
        <f>'Formato 6 a)'!F25</f>
        <v>39817.61</v>
      </c>
      <c r="U18" s="18">
        <f>'Formato 6 a)'!G25</f>
        <v>19514.78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23350.799999999999</v>
      </c>
      <c r="R19" s="18">
        <f>'Formato 6 a)'!D26</f>
        <v>23350.799999999999</v>
      </c>
      <c r="S19" s="18">
        <f>'Formato 6 a)'!E26</f>
        <v>23350.799999999999</v>
      </c>
      <c r="T19" s="18">
        <f>'Formato 6 a)'!F26</f>
        <v>23350.799999999999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28700</v>
      </c>
      <c r="Q20" s="18">
        <f>'Formato 6 a)'!C27</f>
        <v>27590.11</v>
      </c>
      <c r="R20" s="18">
        <f>'Formato 6 a)'!D27</f>
        <v>56290.11</v>
      </c>
      <c r="S20" s="18">
        <f>'Formato 6 a)'!E27</f>
        <v>37598.58</v>
      </c>
      <c r="T20" s="18">
        <f>'Formato 6 a)'!F27</f>
        <v>37598.58</v>
      </c>
      <c r="U20" s="18">
        <f>'Formato 6 a)'!G27</f>
        <v>18691.53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10253444.810000001</v>
      </c>
      <c r="Q21" s="18">
        <f>'Formato 6 a)'!C28</f>
        <v>409390.14000000013</v>
      </c>
      <c r="R21" s="18">
        <f>'Formato 6 a)'!D28</f>
        <v>10662834.949999999</v>
      </c>
      <c r="S21" s="18">
        <f>'Formato 6 a)'!E28</f>
        <v>5502059.6299999999</v>
      </c>
      <c r="T21" s="18">
        <f>'Formato 6 a)'!F28</f>
        <v>5478859.6299999999</v>
      </c>
      <c r="U21" s="18">
        <f>'Formato 6 a)'!G28</f>
        <v>5160775.3199999994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1642300</v>
      </c>
      <c r="Q22" s="18">
        <f>'Formato 6 a)'!C29</f>
        <v>-2360.36</v>
      </c>
      <c r="R22" s="18">
        <f>'Formato 6 a)'!D29</f>
        <v>1639939.64</v>
      </c>
      <c r="S22" s="18">
        <f>'Formato 6 a)'!E29</f>
        <v>915633.3</v>
      </c>
      <c r="T22" s="18">
        <f>'Formato 6 a)'!F29</f>
        <v>915633.3</v>
      </c>
      <c r="U22" s="18">
        <f>'Formato 6 a)'!G29</f>
        <v>724306.33999999985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39500</v>
      </c>
      <c r="Q23" s="18">
        <f>'Formato 6 a)'!C30</f>
        <v>4415.2</v>
      </c>
      <c r="R23" s="18">
        <f>'Formato 6 a)'!D30</f>
        <v>43915.199999999997</v>
      </c>
      <c r="S23" s="18">
        <f>'Formato 6 a)'!E30</f>
        <v>4415.2</v>
      </c>
      <c r="T23" s="18">
        <f>'Formato 6 a)'!F30</f>
        <v>4415.2</v>
      </c>
      <c r="U23" s="18">
        <f>'Formato 6 a)'!G30</f>
        <v>39500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395500</v>
      </c>
      <c r="Q24" s="18">
        <f>'Formato 6 a)'!C31</f>
        <v>-117627.64</v>
      </c>
      <c r="R24" s="18">
        <f>'Formato 6 a)'!D31</f>
        <v>277872.36</v>
      </c>
      <c r="S24" s="18">
        <f>'Formato 6 a)'!E31</f>
        <v>118327</v>
      </c>
      <c r="T24" s="18">
        <f>'Formato 6 a)'!F31</f>
        <v>118327</v>
      </c>
      <c r="U24" s="18">
        <f>'Formato 6 a)'!G31</f>
        <v>159545.35999999999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111700</v>
      </c>
      <c r="Q25" s="18">
        <f>'Formato 6 a)'!C32</f>
        <v>3218.44</v>
      </c>
      <c r="R25" s="18">
        <f>'Formato 6 a)'!D32</f>
        <v>114918.44</v>
      </c>
      <c r="S25" s="18">
        <f>'Formato 6 a)'!E32</f>
        <v>21486.799999999999</v>
      </c>
      <c r="T25" s="18">
        <f>'Formato 6 a)'!F32</f>
        <v>21486.799999999999</v>
      </c>
      <c r="U25" s="18">
        <f>'Formato 6 a)'!G32</f>
        <v>93431.64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1500600</v>
      </c>
      <c r="Q26" s="18">
        <f>'Formato 6 a)'!C33</f>
        <v>483749.14</v>
      </c>
      <c r="R26" s="18">
        <f>'Formato 6 a)'!D33</f>
        <v>1984349.1400000001</v>
      </c>
      <c r="S26" s="18">
        <f>'Formato 6 a)'!E33</f>
        <v>1467338.97</v>
      </c>
      <c r="T26" s="18">
        <f>'Formato 6 a)'!F33</f>
        <v>1467338.97</v>
      </c>
      <c r="U26" s="18">
        <f>'Formato 6 a)'!G33</f>
        <v>517010.17000000016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216000</v>
      </c>
      <c r="Q27" s="18">
        <f>'Formato 6 a)'!C34</f>
        <v>123742.74</v>
      </c>
      <c r="R27" s="18">
        <f>'Formato 6 a)'!D34</f>
        <v>339742.74</v>
      </c>
      <c r="S27" s="18">
        <f>'Formato 6 a)'!E34</f>
        <v>339742.74</v>
      </c>
      <c r="T27" s="18">
        <f>'Formato 6 a)'!F34</f>
        <v>339742.74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372700</v>
      </c>
      <c r="Q28" s="18">
        <f>'Formato 6 a)'!C35</f>
        <v>99442.53</v>
      </c>
      <c r="R28" s="18">
        <f>'Formato 6 a)'!D35</f>
        <v>472142.53</v>
      </c>
      <c r="S28" s="18">
        <f>'Formato 6 a)'!E35</f>
        <v>329287.76</v>
      </c>
      <c r="T28" s="18">
        <f>'Formato 6 a)'!F35</f>
        <v>329287.76</v>
      </c>
      <c r="U28" s="18">
        <f>'Formato 6 a)'!G35</f>
        <v>142854.77000000002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5196400</v>
      </c>
      <c r="Q29" s="18">
        <f>'Formato 6 a)'!C36</f>
        <v>-19204.439999999999</v>
      </c>
      <c r="R29" s="18">
        <f>'Formato 6 a)'!D36</f>
        <v>5177195.5599999996</v>
      </c>
      <c r="S29" s="18">
        <f>'Formato 6 a)'!E36</f>
        <v>1874327.82</v>
      </c>
      <c r="T29" s="18">
        <f>'Formato 6 a)'!F36</f>
        <v>1851127.82</v>
      </c>
      <c r="U29" s="18">
        <f>'Formato 6 a)'!G36</f>
        <v>3302867.7399999993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778744.81</v>
      </c>
      <c r="Q30" s="18">
        <f>'Formato 6 a)'!C37</f>
        <v>-165985.47</v>
      </c>
      <c r="R30" s="18">
        <f>'Formato 6 a)'!D37</f>
        <v>612759.34000000008</v>
      </c>
      <c r="S30" s="18">
        <f>'Formato 6 a)'!E37</f>
        <v>431500.04</v>
      </c>
      <c r="T30" s="18">
        <f>'Formato 6 a)'!F37</f>
        <v>431500.04</v>
      </c>
      <c r="U30" s="18">
        <f>'Formato 6 a)'!G37</f>
        <v>181259.3000000001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7822675.1100000003</v>
      </c>
      <c r="Q31" s="18">
        <f>'Formato 6 a)'!C38</f>
        <v>1031389.55</v>
      </c>
      <c r="R31" s="18">
        <f>'Formato 6 a)'!D38</f>
        <v>8854064.6600000001</v>
      </c>
      <c r="S31" s="18">
        <f>'Formato 6 a)'!E38</f>
        <v>6376137.6299999999</v>
      </c>
      <c r="T31" s="18">
        <f>'Formato 6 a)'!F38</f>
        <v>6355137.6299999999</v>
      </c>
      <c r="U31" s="18">
        <f>'Formato 6 a)'!G38</f>
        <v>2477927.0299999998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4180000</v>
      </c>
      <c r="Q33" s="18">
        <f>'Formato 6 a)'!C40</f>
        <v>-215850.74</v>
      </c>
      <c r="R33" s="18">
        <f>'Formato 6 a)'!D40</f>
        <v>3964149.26</v>
      </c>
      <c r="S33" s="18">
        <f>'Formato 6 a)'!E40</f>
        <v>2043288.26</v>
      </c>
      <c r="T33" s="18">
        <f>'Formato 6 a)'!F40</f>
        <v>2043288.26</v>
      </c>
      <c r="U33" s="18">
        <f>'Formato 6 a)'!G40</f>
        <v>1920860.9999999998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1591675.11</v>
      </c>
      <c r="Q34" s="18">
        <f>'Formato 6 a)'!C41</f>
        <v>687130.29</v>
      </c>
      <c r="R34" s="18">
        <f>'Formato 6 a)'!D41</f>
        <v>2278805.4000000004</v>
      </c>
      <c r="S34" s="18">
        <f>'Formato 6 a)'!E41</f>
        <v>2278805.4</v>
      </c>
      <c r="T34" s="18">
        <f>'Formato 6 a)'!F41</f>
        <v>2278805.4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2051000</v>
      </c>
      <c r="Q35" s="18">
        <f>'Formato 6 a)'!C42</f>
        <v>560110</v>
      </c>
      <c r="R35" s="18">
        <f>'Formato 6 a)'!D42</f>
        <v>2611110</v>
      </c>
      <c r="S35" s="18">
        <f>'Formato 6 a)'!E42</f>
        <v>2054043.97</v>
      </c>
      <c r="T35" s="18">
        <f>'Formato 6 a)'!F42</f>
        <v>2033043.97</v>
      </c>
      <c r="U35" s="18">
        <f>'Formato 6 a)'!G42</f>
        <v>557066.03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202450</v>
      </c>
      <c r="Q41" s="18">
        <f>'Formato 6 a)'!C48</f>
        <v>74668.010000000009</v>
      </c>
      <c r="R41" s="18">
        <f>'Formato 6 a)'!D48</f>
        <v>277118.01</v>
      </c>
      <c r="S41" s="18">
        <f>'Formato 6 a)'!E48</f>
        <v>211158.59</v>
      </c>
      <c r="T41" s="18">
        <f>'Formato 6 a)'!F48</f>
        <v>211158.59</v>
      </c>
      <c r="U41" s="18">
        <f>'Formato 6 a)'!G48</f>
        <v>65959.420000000013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113850</v>
      </c>
      <c r="Q42" s="18">
        <f>'Formato 6 a)'!C49</f>
        <v>74519</v>
      </c>
      <c r="R42" s="18">
        <f>'Formato 6 a)'!D49</f>
        <v>188369</v>
      </c>
      <c r="S42" s="18">
        <f>'Formato 6 a)'!E49</f>
        <v>163708.57999999999</v>
      </c>
      <c r="T42" s="18">
        <f>'Formato 6 a)'!F49</f>
        <v>163708.57999999999</v>
      </c>
      <c r="U42" s="18">
        <f>'Formato 6 a)'!G49</f>
        <v>24660.420000000013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47450.01</v>
      </c>
      <c r="R43" s="18">
        <f>'Formato 6 a)'!D50</f>
        <v>47450.01</v>
      </c>
      <c r="S43" s="18">
        <f>'Formato 6 a)'!E50</f>
        <v>47450.01</v>
      </c>
      <c r="T43" s="18">
        <f>'Formato 6 a)'!F50</f>
        <v>47450.01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83600</v>
      </c>
      <c r="Q47" s="18">
        <f>'Formato 6 a)'!C54</f>
        <v>-47301</v>
      </c>
      <c r="R47" s="18">
        <f>'Formato 6 a)'!D54</f>
        <v>36299</v>
      </c>
      <c r="S47" s="18">
        <f>'Formato 6 a)'!E54</f>
        <v>0</v>
      </c>
      <c r="T47" s="18">
        <f>'Formato 6 a)'!F54</f>
        <v>0</v>
      </c>
      <c r="U47" s="18">
        <f>'Formato 6 a)'!G54</f>
        <v>36299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5000</v>
      </c>
      <c r="Q50" s="18">
        <f>'Formato 6 a)'!C57</f>
        <v>0</v>
      </c>
      <c r="R50" s="18">
        <f>'Formato 6 a)'!D57</f>
        <v>5000</v>
      </c>
      <c r="S50" s="18">
        <f>'Formato 6 a)'!E57</f>
        <v>0</v>
      </c>
      <c r="T50" s="18">
        <f>'Formato 6 a)'!F57</f>
        <v>0</v>
      </c>
      <c r="U50" s="18">
        <f>'Formato 6 a)'!G57</f>
        <v>5000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19500</v>
      </c>
      <c r="Q51" s="18">
        <f>'Formato 6 a)'!C58</f>
        <v>611164</v>
      </c>
      <c r="R51" s="18">
        <f>'Formato 6 a)'!D58</f>
        <v>630664</v>
      </c>
      <c r="S51" s="18">
        <f>'Formato 6 a)'!E58</f>
        <v>586311.53</v>
      </c>
      <c r="T51" s="18">
        <f>'Formato 6 a)'!F58</f>
        <v>586311.53</v>
      </c>
      <c r="U51" s="18">
        <f>'Formato 6 a)'!G58</f>
        <v>44352.469999999972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559544</v>
      </c>
      <c r="R52" s="18">
        <f>'Formato 6 a)'!D59</f>
        <v>559544</v>
      </c>
      <c r="S52" s="18">
        <f>'Formato 6 a)'!E59</f>
        <v>534691.53</v>
      </c>
      <c r="T52" s="18">
        <f>'Formato 6 a)'!F59</f>
        <v>534691.53</v>
      </c>
      <c r="U52" s="18">
        <f>'Formato 6 a)'!G59</f>
        <v>24852.469999999972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19500</v>
      </c>
      <c r="Q54" s="18">
        <f>'Formato 6 a)'!C61</f>
        <v>51620</v>
      </c>
      <c r="R54" s="18">
        <f>'Formato 6 a)'!D61</f>
        <v>71120</v>
      </c>
      <c r="S54" s="18">
        <f>'Formato 6 a)'!E61</f>
        <v>51620</v>
      </c>
      <c r="T54" s="18">
        <f>'Formato 6 a)'!F61</f>
        <v>51620</v>
      </c>
      <c r="U54" s="18">
        <f>'Formato 6 a)'!G61</f>
        <v>19500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827643.1</v>
      </c>
      <c r="R64" s="18">
        <f>'Formato 6 a)'!D71</f>
        <v>827643.1</v>
      </c>
      <c r="S64" s="18">
        <f>'Formato 6 a)'!E71</f>
        <v>827643.1</v>
      </c>
      <c r="T64" s="18">
        <f>'Formato 6 a)'!F71</f>
        <v>827643.1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827643.1</v>
      </c>
      <c r="R67" s="18">
        <f>'Formato 6 a)'!D74</f>
        <v>827643.1</v>
      </c>
      <c r="S67" s="18">
        <f>'Formato 6 a)'!E74</f>
        <v>827643.1</v>
      </c>
      <c r="T67" s="18">
        <f>'Formato 6 a)'!F74</f>
        <v>827643.1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2560000</v>
      </c>
      <c r="Q68" s="18">
        <f>'Formato 6 a)'!C75</f>
        <v>-2496742.8199999998</v>
      </c>
      <c r="R68" s="18">
        <f>'Formato 6 a)'!D75</f>
        <v>63257.180000000168</v>
      </c>
      <c r="S68" s="18">
        <f>'Formato 6 a)'!E75</f>
        <v>61875</v>
      </c>
      <c r="T68" s="18">
        <f>'Formato 6 a)'!F75</f>
        <v>61875</v>
      </c>
      <c r="U68" s="18">
        <f>'Formato 6 a)'!G75</f>
        <v>1382.1800000001676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2500000</v>
      </c>
      <c r="Q69" s="18">
        <f>'Formato 6 a)'!C76</f>
        <v>-2499400.8199999998</v>
      </c>
      <c r="R69" s="18">
        <f>'Formato 6 a)'!D76</f>
        <v>599.18000000016764</v>
      </c>
      <c r="S69" s="18">
        <f>'Formato 6 a)'!E76</f>
        <v>0</v>
      </c>
      <c r="T69" s="18">
        <f>'Formato 6 a)'!F76</f>
        <v>0</v>
      </c>
      <c r="U69" s="18">
        <f>'Formato 6 a)'!G76</f>
        <v>599.18000000016764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60000</v>
      </c>
      <c r="Q70" s="18">
        <f>'Formato 6 a)'!C77</f>
        <v>2658</v>
      </c>
      <c r="R70" s="18">
        <f>'Formato 6 a)'!D77</f>
        <v>62658</v>
      </c>
      <c r="S70" s="18">
        <f>'Formato 6 a)'!E77</f>
        <v>61875</v>
      </c>
      <c r="T70" s="18">
        <f>'Formato 6 a)'!F77</f>
        <v>61875</v>
      </c>
      <c r="U70" s="18">
        <f>'Formato 6 a)'!G77</f>
        <v>783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35700000</v>
      </c>
      <c r="Q76">
        <f>'Formato 6 a)'!C84</f>
        <v>2971356.08</v>
      </c>
      <c r="R76">
        <f>'Formato 6 a)'!D84</f>
        <v>38671356.079999998</v>
      </c>
      <c r="S76">
        <f>'Formato 6 a)'!E84</f>
        <v>6299532.0700000003</v>
      </c>
      <c r="T76">
        <f>'Formato 6 a)'!F84</f>
        <v>6299532.0700000003</v>
      </c>
      <c r="U76">
        <f>'Formato 6 a)'!G84</f>
        <v>32371824.009999998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5588743.2199999997</v>
      </c>
      <c r="Q77">
        <f>'Formato 6 a)'!C85</f>
        <v>0</v>
      </c>
      <c r="R77">
        <f>'Formato 6 a)'!D85</f>
        <v>5588743.2199999997</v>
      </c>
      <c r="S77">
        <f>'Formato 6 a)'!E85</f>
        <v>2269924.66</v>
      </c>
      <c r="T77">
        <f>'Formato 6 a)'!F85</f>
        <v>2269924.66</v>
      </c>
      <c r="U77">
        <f>'Formato 6 a)'!G85</f>
        <v>3318818.56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4503071.25</v>
      </c>
      <c r="Q78">
        <f>'Formato 6 a)'!C86</f>
        <v>0</v>
      </c>
      <c r="R78">
        <f>'Formato 6 a)'!D86</f>
        <v>4503071.25</v>
      </c>
      <c r="S78">
        <f>'Formato 6 a)'!E86</f>
        <v>2230835.64</v>
      </c>
      <c r="T78">
        <f>'Formato 6 a)'!F86</f>
        <v>2230835.64</v>
      </c>
      <c r="U78">
        <f>'Formato 6 a)'!G86</f>
        <v>2272235.61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567510.35</v>
      </c>
      <c r="Q80">
        <f>'Formato 6 a)'!C88</f>
        <v>0</v>
      </c>
      <c r="R80">
        <f>'Formato 6 a)'!D88</f>
        <v>567510.35</v>
      </c>
      <c r="S80">
        <f>'Formato 6 a)'!E88</f>
        <v>39089.019999999997</v>
      </c>
      <c r="T80">
        <f>'Formato 6 a)'!F88</f>
        <v>39089.019999999997</v>
      </c>
      <c r="U80">
        <f>'Formato 6 a)'!G88</f>
        <v>528421.32999999996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518161.62</v>
      </c>
      <c r="Q83">
        <f>'Formato 6 a)'!C91</f>
        <v>0</v>
      </c>
      <c r="R83">
        <f>'Formato 6 a)'!D91</f>
        <v>518161.62</v>
      </c>
      <c r="S83">
        <f>'Formato 6 a)'!E91</f>
        <v>0</v>
      </c>
      <c r="T83">
        <f>'Formato 6 a)'!F91</f>
        <v>0</v>
      </c>
      <c r="U83">
        <f>'Formato 6 a)'!G91</f>
        <v>518161.62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2427313.4499999997</v>
      </c>
      <c r="Q85">
        <f>'Formato 6 a)'!C93</f>
        <v>-706.84</v>
      </c>
      <c r="R85">
        <f>'Formato 6 a)'!D93</f>
        <v>2426606.61</v>
      </c>
      <c r="S85">
        <f>'Formato 6 a)'!E93</f>
        <v>967814.2</v>
      </c>
      <c r="T85">
        <f>'Formato 6 a)'!F93</f>
        <v>967814.2</v>
      </c>
      <c r="U85">
        <f>'Formato 6 a)'!G93</f>
        <v>1458792.4099999997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990545.32</v>
      </c>
      <c r="Q89">
        <f>'Formato 6 a)'!C97</f>
        <v>0</v>
      </c>
      <c r="R89">
        <f>'Formato 6 a)'!D97</f>
        <v>990545.32</v>
      </c>
      <c r="S89">
        <f>'Formato 6 a)'!E97</f>
        <v>0</v>
      </c>
      <c r="T89">
        <f>'Formato 6 a)'!F97</f>
        <v>0</v>
      </c>
      <c r="U89">
        <f>'Formato 6 a)'!G97</f>
        <v>990545.32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1436768.13</v>
      </c>
      <c r="Q91">
        <f>'Formato 6 a)'!C99</f>
        <v>-706.84</v>
      </c>
      <c r="R91">
        <f>'Formato 6 a)'!D99</f>
        <v>1436061.2899999998</v>
      </c>
      <c r="S91">
        <f>'Formato 6 a)'!E99</f>
        <v>967814.2</v>
      </c>
      <c r="T91">
        <f>'Formato 6 a)'!F99</f>
        <v>967814.2</v>
      </c>
      <c r="U91">
        <f>'Formato 6 a)'!G99</f>
        <v>468247.08999999985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127143.72</v>
      </c>
      <c r="Q95">
        <f>'Formato 6 a)'!C103</f>
        <v>200706.84</v>
      </c>
      <c r="R95">
        <f>'Formato 6 a)'!D103</f>
        <v>327850.56</v>
      </c>
      <c r="S95">
        <f>'Formato 6 a)'!E103</f>
        <v>127850.56</v>
      </c>
      <c r="T95">
        <f>'Formato 6 a)'!F103</f>
        <v>127850.56</v>
      </c>
      <c r="U95">
        <f>'Formato 6 a)'!G103</f>
        <v>200000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200000</v>
      </c>
      <c r="R98">
        <f>'Formato 6 a)'!D106</f>
        <v>200000</v>
      </c>
      <c r="S98">
        <f>'Formato 6 a)'!E106</f>
        <v>0</v>
      </c>
      <c r="T98">
        <f>'Formato 6 a)'!F106</f>
        <v>0</v>
      </c>
      <c r="U98">
        <f>'Formato 6 a)'!G106</f>
        <v>200000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127143.72</v>
      </c>
      <c r="Q100">
        <f>'Formato 6 a)'!C108</f>
        <v>706.84</v>
      </c>
      <c r="R100">
        <f>'Formato 6 a)'!D108</f>
        <v>127850.56</v>
      </c>
      <c r="S100">
        <f>'Formato 6 a)'!E108</f>
        <v>127850.56</v>
      </c>
      <c r="T100">
        <f>'Formato 6 a)'!F108</f>
        <v>127850.56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1556799.61</v>
      </c>
      <c r="Q105">
        <f>'Formato 6 a)'!C113</f>
        <v>1235089.08</v>
      </c>
      <c r="R105">
        <f>'Formato 6 a)'!D113</f>
        <v>2791888.6900000004</v>
      </c>
      <c r="S105">
        <f>'Formato 6 a)'!E113</f>
        <v>325913.82</v>
      </c>
      <c r="T105">
        <f>'Formato 6 a)'!F113</f>
        <v>325913.82</v>
      </c>
      <c r="U105">
        <f>'Formato 6 a)'!G113</f>
        <v>2465974.87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1556799.61</v>
      </c>
      <c r="Q108">
        <f>'Formato 6 a)'!C116</f>
        <v>0</v>
      </c>
      <c r="R108">
        <f>'Formato 6 a)'!D116</f>
        <v>1556799.61</v>
      </c>
      <c r="S108">
        <f>'Formato 6 a)'!E116</f>
        <v>0</v>
      </c>
      <c r="T108">
        <f>'Formato 6 a)'!F116</f>
        <v>0</v>
      </c>
      <c r="U108">
        <f>'Formato 6 a)'!G116</f>
        <v>1556799.61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1235089.08</v>
      </c>
      <c r="R109">
        <f>'Formato 6 a)'!D117</f>
        <v>1235089.08</v>
      </c>
      <c r="S109">
        <f>'Formato 6 a)'!E117</f>
        <v>325913.82</v>
      </c>
      <c r="T109">
        <f>'Formato 6 a)'!F117</f>
        <v>325913.82</v>
      </c>
      <c r="U109">
        <f>'Formato 6 a)'!G117</f>
        <v>909175.26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2500000</v>
      </c>
      <c r="Q125">
        <f>'Formato 6 a)'!C133</f>
        <v>1536267</v>
      </c>
      <c r="R125">
        <f>'Formato 6 a)'!D133</f>
        <v>4036267</v>
      </c>
      <c r="S125">
        <f>'Formato 6 a)'!E133</f>
        <v>688028.83</v>
      </c>
      <c r="T125">
        <f>'Formato 6 a)'!F133</f>
        <v>688028.83</v>
      </c>
      <c r="U125">
        <f>'Formato 6 a)'!G133</f>
        <v>3348238.17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2500000</v>
      </c>
      <c r="Q126">
        <f>'Formato 6 a)'!C134</f>
        <v>1536267</v>
      </c>
      <c r="R126">
        <f>'Formato 6 a)'!D134</f>
        <v>4036267</v>
      </c>
      <c r="S126">
        <f>'Formato 6 a)'!E134</f>
        <v>688028.83</v>
      </c>
      <c r="T126">
        <f>'Formato 6 a)'!F134</f>
        <v>688028.83</v>
      </c>
      <c r="U126">
        <f>'Formato 6 a)'!G134</f>
        <v>3348238.17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23500000</v>
      </c>
      <c r="Q129">
        <f>'Formato 6 a)'!C137</f>
        <v>-1920000</v>
      </c>
      <c r="R129">
        <f>'Formato 6 a)'!D137</f>
        <v>21580000</v>
      </c>
      <c r="S129">
        <f>'Formato 6 a)'!E137</f>
        <v>0</v>
      </c>
      <c r="T129">
        <f>'Formato 6 a)'!F137</f>
        <v>0</v>
      </c>
      <c r="U129">
        <f>'Formato 6 a)'!G137</f>
        <v>21580000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23500000</v>
      </c>
      <c r="Q137">
        <f>'Formato 6 a)'!C145</f>
        <v>-1920000</v>
      </c>
      <c r="R137">
        <f>'Formato 6 a)'!D145</f>
        <v>21580000</v>
      </c>
      <c r="S137">
        <f>'Formato 6 a)'!E145</f>
        <v>0</v>
      </c>
      <c r="T137">
        <f>'Formato 6 a)'!F145</f>
        <v>0</v>
      </c>
      <c r="U137">
        <f>'Formato 6 a)'!G145</f>
        <v>21580000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1920000</v>
      </c>
      <c r="R138">
        <f>'Formato 6 a)'!D146</f>
        <v>1920000</v>
      </c>
      <c r="S138">
        <f>'Formato 6 a)'!E146</f>
        <v>1920000</v>
      </c>
      <c r="T138">
        <f>'Formato 6 a)'!F146</f>
        <v>1920000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1920000</v>
      </c>
      <c r="R141">
        <f>'Formato 6 a)'!D149</f>
        <v>1920000</v>
      </c>
      <c r="S141">
        <f>'Formato 6 a)'!E149</f>
        <v>1920000</v>
      </c>
      <c r="T141">
        <f>'Formato 6 a)'!F149</f>
        <v>1920000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88210940</v>
      </c>
      <c r="Q150">
        <f>'Formato 6 a)'!C159</f>
        <v>3723385.4000000004</v>
      </c>
      <c r="R150">
        <f>'Formato 6 a)'!D159</f>
        <v>91934325.400000006</v>
      </c>
      <c r="S150">
        <f>'Formato 6 a)'!E159</f>
        <v>32972589.560000002</v>
      </c>
      <c r="T150">
        <f>'Formato 6 a)'!F159</f>
        <v>32928389.560000002</v>
      </c>
      <c r="U150">
        <f>'Formato 6 a)'!G159</f>
        <v>58961735.840000004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2" zoomScale="80" zoomScaleNormal="80" workbookViewId="0">
      <selection activeCell="D27" sqref="D27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6" t="s">
        <v>3291</v>
      </c>
      <c r="B1" s="186"/>
      <c r="C1" s="186"/>
      <c r="D1" s="186"/>
      <c r="E1" s="186"/>
      <c r="F1" s="186"/>
      <c r="G1" s="186"/>
    </row>
    <row r="2" spans="1:7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8"/>
      <c r="G2" s="169"/>
    </row>
    <row r="3" spans="1:7" x14ac:dyDescent="0.25">
      <c r="A3" s="170" t="s">
        <v>277</v>
      </c>
      <c r="B3" s="171"/>
      <c r="C3" s="171"/>
      <c r="D3" s="171"/>
      <c r="E3" s="171"/>
      <c r="F3" s="171"/>
      <c r="G3" s="172"/>
    </row>
    <row r="4" spans="1:7" x14ac:dyDescent="0.25">
      <c r="A4" s="170" t="s">
        <v>431</v>
      </c>
      <c r="B4" s="171"/>
      <c r="C4" s="171"/>
      <c r="D4" s="171"/>
      <c r="E4" s="171"/>
      <c r="F4" s="171"/>
      <c r="G4" s="172"/>
    </row>
    <row r="5" spans="1:7" ht="14.25" x14ac:dyDescent="0.45">
      <c r="A5" s="173" t="str">
        <f>TRIMESTRE</f>
        <v>Del 1 de enero al 30 de junio de 2019 (b)</v>
      </c>
      <c r="B5" s="174"/>
      <c r="C5" s="174"/>
      <c r="D5" s="174"/>
      <c r="E5" s="174"/>
      <c r="F5" s="174"/>
      <c r="G5" s="175"/>
    </row>
    <row r="6" spans="1:7" ht="14.25" x14ac:dyDescent="0.45">
      <c r="A6" s="176" t="s">
        <v>118</v>
      </c>
      <c r="B6" s="177"/>
      <c r="C6" s="177"/>
      <c r="D6" s="177"/>
      <c r="E6" s="177"/>
      <c r="F6" s="177"/>
      <c r="G6" s="178"/>
    </row>
    <row r="7" spans="1:7" x14ac:dyDescent="0.25">
      <c r="A7" s="182" t="s">
        <v>0</v>
      </c>
      <c r="B7" s="184" t="s">
        <v>279</v>
      </c>
      <c r="C7" s="184"/>
      <c r="D7" s="184"/>
      <c r="E7" s="184"/>
      <c r="F7" s="184"/>
      <c r="G7" s="188" t="s">
        <v>280</v>
      </c>
    </row>
    <row r="8" spans="1:7" ht="30" x14ac:dyDescent="0.25">
      <c r="A8" s="183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7"/>
    </row>
    <row r="9" spans="1:7" ht="14.25" x14ac:dyDescent="0.45">
      <c r="A9" s="52" t="s">
        <v>440</v>
      </c>
      <c r="B9" s="59">
        <f>SUM(B10:GASTO_NE_FIN_01)</f>
        <v>52510940</v>
      </c>
      <c r="C9" s="59">
        <f>SUM(C10:GASTO_NE_FIN_02)</f>
        <v>752029.32</v>
      </c>
      <c r="D9" s="59">
        <f>SUM(D10:GASTO_NE_FIN_03)</f>
        <v>53262969.32</v>
      </c>
      <c r="E9" s="59">
        <f>SUM(E10:GASTO_NE_FIN_04)</f>
        <v>26673057.489999998</v>
      </c>
      <c r="F9" s="59">
        <f>SUM(F10:GASTO_NE_FIN_05)</f>
        <v>26628857.489999998</v>
      </c>
      <c r="G9" s="59">
        <f>SUM(G10:GASTO_NE_FIN_06)</f>
        <v>26589911.830000002</v>
      </c>
    </row>
    <row r="10" spans="1:7" s="24" customFormat="1" x14ac:dyDescent="0.25">
      <c r="A10" s="144" t="s">
        <v>432</v>
      </c>
      <c r="B10" s="153">
        <v>52510940</v>
      </c>
      <c r="C10" s="153">
        <v>0</v>
      </c>
      <c r="D10" s="154">
        <f>B10+C10</f>
        <v>52510940</v>
      </c>
      <c r="E10" s="153">
        <v>26673057.489999998</v>
      </c>
      <c r="F10" s="153">
        <v>26628857.489999998</v>
      </c>
      <c r="G10" s="77">
        <f>D10-E10</f>
        <v>25837882.510000002</v>
      </c>
    </row>
    <row r="11" spans="1:7" s="24" customFormat="1" x14ac:dyDescent="0.25">
      <c r="A11" s="144" t="s">
        <v>433</v>
      </c>
      <c r="B11" s="153">
        <v>0</v>
      </c>
      <c r="C11" s="153">
        <v>752029.32</v>
      </c>
      <c r="D11" s="154">
        <f t="shared" ref="D11" si="0">B11+C11</f>
        <v>752029.32</v>
      </c>
      <c r="E11" s="153">
        <v>0</v>
      </c>
      <c r="F11" s="153">
        <v>0</v>
      </c>
      <c r="G11" s="77">
        <f t="shared" ref="G11:G17" si="1">D11-E11</f>
        <v>752029.32</v>
      </c>
    </row>
    <row r="12" spans="1:7" s="24" customFormat="1" ht="14.25" x14ac:dyDescent="0.45">
      <c r="A12" s="144" t="s">
        <v>434</v>
      </c>
      <c r="B12" s="60"/>
      <c r="C12" s="60"/>
      <c r="D12" s="60"/>
      <c r="E12" s="60"/>
      <c r="F12" s="60"/>
      <c r="G12" s="77">
        <f t="shared" si="1"/>
        <v>0</v>
      </c>
    </row>
    <row r="13" spans="1:7" s="24" customFormat="1" ht="14.25" x14ac:dyDescent="0.45">
      <c r="A13" s="144" t="s">
        <v>435</v>
      </c>
      <c r="B13" s="60"/>
      <c r="C13" s="60"/>
      <c r="D13" s="60"/>
      <c r="E13" s="60"/>
      <c r="F13" s="60"/>
      <c r="G13" s="77">
        <f t="shared" si="1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1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1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1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1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35700000</v>
      </c>
      <c r="C19" s="61">
        <f>SUM(C20:GASTO_E_FIN_02)</f>
        <v>2971356.08</v>
      </c>
      <c r="D19" s="61">
        <f>SUM(D20:GASTO_E_FIN_03)</f>
        <v>38671356.079999998</v>
      </c>
      <c r="E19" s="61">
        <f>SUM(E20:GASTO_E_FIN_04)</f>
        <v>6299532.0700000003</v>
      </c>
      <c r="F19" s="61">
        <f>SUM(F20:GASTO_E_FIN_05)</f>
        <v>2933942.65</v>
      </c>
      <c r="G19" s="61">
        <f>SUM(G20:GASTO_E_FIN_06)</f>
        <v>32371824.009999998</v>
      </c>
    </row>
    <row r="20" spans="1:7" s="24" customFormat="1" x14ac:dyDescent="0.25">
      <c r="A20" s="144" t="s">
        <v>432</v>
      </c>
      <c r="B20" s="153">
        <v>35700000</v>
      </c>
      <c r="C20" s="153">
        <v>2971356.08</v>
      </c>
      <c r="D20" s="154">
        <f t="shared" ref="D20" si="2">B20+C20</f>
        <v>38671356.079999998</v>
      </c>
      <c r="E20" s="153">
        <v>6299532.0700000003</v>
      </c>
      <c r="F20" s="153">
        <v>2933942.65</v>
      </c>
      <c r="G20" s="60">
        <f>D20-E20</f>
        <v>32371824.009999998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3">D21-E21</f>
        <v>0</v>
      </c>
    </row>
    <row r="22" spans="1:7" s="24" customFormat="1" x14ac:dyDescent="0.25">
      <c r="A22" s="144" t="s">
        <v>434</v>
      </c>
      <c r="B22" s="60"/>
      <c r="C22" s="60"/>
      <c r="D22" s="60"/>
      <c r="E22" s="60"/>
      <c r="F22" s="60"/>
      <c r="G22" s="60">
        <f t="shared" si="3"/>
        <v>0</v>
      </c>
    </row>
    <row r="23" spans="1:7" s="24" customFormat="1" x14ac:dyDescent="0.25">
      <c r="A23" s="144" t="s">
        <v>435</v>
      </c>
      <c r="B23" s="60"/>
      <c r="C23" s="60"/>
      <c r="D23" s="60"/>
      <c r="E23" s="60"/>
      <c r="F23" s="60"/>
      <c r="G23" s="60">
        <f t="shared" si="3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3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3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3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88210940</v>
      </c>
      <c r="C29" s="61">
        <f>GASTO_NE_T2+GASTO_E_T2</f>
        <v>3723385.4</v>
      </c>
      <c r="D29" s="61">
        <f>GASTO_NE_T3+GASTO_E_T3</f>
        <v>91934325.400000006</v>
      </c>
      <c r="E29" s="61">
        <f>GASTO_NE_T4+GASTO_E_T4</f>
        <v>32972589.559999999</v>
      </c>
      <c r="F29" s="61">
        <f>GASTO_NE_T5+GASTO_E_T5</f>
        <v>29562800.139999997</v>
      </c>
      <c r="G29" s="61">
        <f>GASTO_NE_T6+GASTO_E_T6</f>
        <v>58961735.840000004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52510940</v>
      </c>
      <c r="Q2" s="18">
        <f>GASTO_NE_T2</f>
        <v>752029.32</v>
      </c>
      <c r="R2" s="18">
        <f>GASTO_NE_T3</f>
        <v>53262969.32</v>
      </c>
      <c r="S2" s="18">
        <f>GASTO_NE_T4</f>
        <v>26673057.489999998</v>
      </c>
      <c r="T2" s="18">
        <f>GASTO_NE_T5</f>
        <v>26628857.489999998</v>
      </c>
      <c r="U2" s="18">
        <f>GASTO_NE_T6</f>
        <v>26589911.830000002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35700000</v>
      </c>
      <c r="Q3" s="18">
        <f>GASTO_E_T2</f>
        <v>2971356.08</v>
      </c>
      <c r="R3" s="18">
        <f>GASTO_E_T3</f>
        <v>38671356.079999998</v>
      </c>
      <c r="S3" s="18">
        <f>GASTO_E_T4</f>
        <v>6299532.0700000003</v>
      </c>
      <c r="T3" s="18">
        <f>GASTO_E_T5</f>
        <v>2933942.65</v>
      </c>
      <c r="U3" s="18">
        <f>GASTO_E_T6</f>
        <v>32371824.009999998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88210940</v>
      </c>
      <c r="Q4" s="18">
        <f>TOTAL_E_T2</f>
        <v>3723385.4</v>
      </c>
      <c r="R4" s="18">
        <f>TOTAL_E_T3</f>
        <v>91934325.400000006</v>
      </c>
      <c r="S4" s="18">
        <f>TOTAL_E_T4</f>
        <v>32972589.559999999</v>
      </c>
      <c r="T4" s="18">
        <f>TOTAL_E_T5</f>
        <v>29562800.139999997</v>
      </c>
      <c r="U4" s="18">
        <f>TOTAL_E_T6</f>
        <v>58961735.840000004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75" zoomScale="80" zoomScaleNormal="80" workbookViewId="0">
      <selection activeCell="B20" sqref="B20:F2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2" t="s">
        <v>3290</v>
      </c>
      <c r="B1" s="193"/>
      <c r="C1" s="193"/>
      <c r="D1" s="193"/>
      <c r="E1" s="193"/>
      <c r="F1" s="193"/>
      <c r="G1" s="193"/>
    </row>
    <row r="2" spans="1:7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8"/>
      <c r="G2" s="169"/>
    </row>
    <row r="3" spans="1:7" x14ac:dyDescent="0.25">
      <c r="A3" s="170" t="s">
        <v>396</v>
      </c>
      <c r="B3" s="171"/>
      <c r="C3" s="171"/>
      <c r="D3" s="171"/>
      <c r="E3" s="171"/>
      <c r="F3" s="171"/>
      <c r="G3" s="172"/>
    </row>
    <row r="4" spans="1:7" x14ac:dyDescent="0.25">
      <c r="A4" s="170" t="s">
        <v>397</v>
      </c>
      <c r="B4" s="171"/>
      <c r="C4" s="171"/>
      <c r="D4" s="171"/>
      <c r="E4" s="171"/>
      <c r="F4" s="171"/>
      <c r="G4" s="172"/>
    </row>
    <row r="5" spans="1:7" ht="14.25" x14ac:dyDescent="0.45">
      <c r="A5" s="173" t="str">
        <f>TRIMESTRE</f>
        <v>Del 1 de enero al 30 de junio de 2019 (b)</v>
      </c>
      <c r="B5" s="174"/>
      <c r="C5" s="174"/>
      <c r="D5" s="174"/>
      <c r="E5" s="174"/>
      <c r="F5" s="174"/>
      <c r="G5" s="175"/>
    </row>
    <row r="6" spans="1:7" ht="14.25" x14ac:dyDescent="0.45">
      <c r="A6" s="176" t="s">
        <v>118</v>
      </c>
      <c r="B6" s="177"/>
      <c r="C6" s="177"/>
      <c r="D6" s="177"/>
      <c r="E6" s="177"/>
      <c r="F6" s="177"/>
      <c r="G6" s="178"/>
    </row>
    <row r="7" spans="1:7" x14ac:dyDescent="0.25">
      <c r="A7" s="171" t="s">
        <v>0</v>
      </c>
      <c r="B7" s="176" t="s">
        <v>279</v>
      </c>
      <c r="C7" s="177"/>
      <c r="D7" s="177"/>
      <c r="E7" s="177"/>
      <c r="F7" s="178"/>
      <c r="G7" s="188" t="s">
        <v>3287</v>
      </c>
    </row>
    <row r="8" spans="1:7" ht="30.75" customHeight="1" x14ac:dyDescent="0.25">
      <c r="A8" s="171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7"/>
    </row>
    <row r="9" spans="1:7" ht="14.25" x14ac:dyDescent="0.45">
      <c r="A9" s="52" t="s">
        <v>363</v>
      </c>
      <c r="B9" s="70">
        <f>SUM(B10,B19,B27,B37)</f>
        <v>52510940</v>
      </c>
      <c r="C9" s="70">
        <f t="shared" ref="C9:G9" si="0">SUM(C10,C19,C27,C37)</f>
        <v>752029.31999999948</v>
      </c>
      <c r="D9" s="70">
        <f t="shared" si="0"/>
        <v>53262969.32</v>
      </c>
      <c r="E9" s="70">
        <f t="shared" si="0"/>
        <v>26673057.490000002</v>
      </c>
      <c r="F9" s="70">
        <f t="shared" si="0"/>
        <v>26628857.490000002</v>
      </c>
      <c r="G9" s="70">
        <f t="shared" si="0"/>
        <v>26589911.829999998</v>
      </c>
    </row>
    <row r="10" spans="1:7" ht="14.25" x14ac:dyDescent="0.45">
      <c r="A10" s="53" t="s">
        <v>364</v>
      </c>
      <c r="B10" s="71">
        <f>SUM(B11:B18)</f>
        <v>31579156</v>
      </c>
      <c r="C10" s="71">
        <f t="shared" ref="C10:F10" si="1">SUM(C11:C18)</f>
        <v>-2028385.4400000002</v>
      </c>
      <c r="D10" s="71">
        <f t="shared" si="1"/>
        <v>29550770.560000002</v>
      </c>
      <c r="E10" s="71">
        <f t="shared" si="1"/>
        <v>14732515.9</v>
      </c>
      <c r="F10" s="71">
        <f t="shared" si="1"/>
        <v>14688315.9</v>
      </c>
      <c r="G10" s="71">
        <f>SUM(G11:G18)</f>
        <v>14818254.66</v>
      </c>
    </row>
    <row r="11" spans="1:7" x14ac:dyDescent="0.25">
      <c r="A11" s="63" t="s">
        <v>365</v>
      </c>
      <c r="B11" s="158">
        <v>6658180.1799999997</v>
      </c>
      <c r="C11" s="158">
        <v>-89929.13</v>
      </c>
      <c r="D11" s="159">
        <f>B11+C11</f>
        <v>6568251.0499999998</v>
      </c>
      <c r="E11" s="158">
        <v>2935976.11</v>
      </c>
      <c r="F11" s="158">
        <v>2935976.11</v>
      </c>
      <c r="G11" s="72">
        <f>D11-E11</f>
        <v>3632274.94</v>
      </c>
    </row>
    <row r="12" spans="1:7" x14ac:dyDescent="0.25">
      <c r="A12" s="63" t="s">
        <v>366</v>
      </c>
      <c r="B12" s="159"/>
      <c r="C12" s="159"/>
      <c r="D12" s="159">
        <f t="shared" ref="D12:D18" si="2">B12+C12</f>
        <v>0</v>
      </c>
      <c r="E12" s="159"/>
      <c r="F12" s="159"/>
      <c r="G12" s="72">
        <f t="shared" ref="G12:G18" si="3">D12-E12</f>
        <v>0</v>
      </c>
    </row>
    <row r="13" spans="1:7" x14ac:dyDescent="0.25">
      <c r="A13" s="63" t="s">
        <v>367</v>
      </c>
      <c r="B13" s="158">
        <v>17611185.960000001</v>
      </c>
      <c r="C13" s="158">
        <v>-2038791.43</v>
      </c>
      <c r="D13" s="159">
        <f t="shared" si="2"/>
        <v>15572394.530000001</v>
      </c>
      <c r="E13" s="158">
        <v>8518943.8200000003</v>
      </c>
      <c r="F13" s="158">
        <v>8474743.8200000003</v>
      </c>
      <c r="G13" s="72">
        <f t="shared" si="3"/>
        <v>7053450.7100000009</v>
      </c>
    </row>
    <row r="14" spans="1:7" x14ac:dyDescent="0.25">
      <c r="A14" s="63" t="s">
        <v>368</v>
      </c>
      <c r="B14" s="159"/>
      <c r="C14" s="159"/>
      <c r="D14" s="159">
        <f t="shared" si="2"/>
        <v>0</v>
      </c>
      <c r="E14" s="159"/>
      <c r="F14" s="159"/>
      <c r="G14" s="72">
        <f t="shared" si="3"/>
        <v>0</v>
      </c>
    </row>
    <row r="15" spans="1:7" x14ac:dyDescent="0.25">
      <c r="A15" s="63" t="s">
        <v>369</v>
      </c>
      <c r="B15" s="158">
        <v>3139627.72</v>
      </c>
      <c r="C15" s="158">
        <v>-39840.449999999997</v>
      </c>
      <c r="D15" s="159">
        <f t="shared" si="2"/>
        <v>3099787.27</v>
      </c>
      <c r="E15" s="158">
        <v>1315229.56</v>
      </c>
      <c r="F15" s="158">
        <v>1315229.56</v>
      </c>
      <c r="G15" s="72">
        <f t="shared" si="3"/>
        <v>1784557.71</v>
      </c>
    </row>
    <row r="16" spans="1:7" x14ac:dyDescent="0.25">
      <c r="A16" s="63" t="s">
        <v>370</v>
      </c>
      <c r="B16" s="159"/>
      <c r="C16" s="159"/>
      <c r="D16" s="159">
        <f t="shared" si="2"/>
        <v>0</v>
      </c>
      <c r="E16" s="159"/>
      <c r="F16" s="159"/>
      <c r="G16" s="72">
        <f t="shared" si="3"/>
        <v>0</v>
      </c>
    </row>
    <row r="17" spans="1:7" x14ac:dyDescent="0.25">
      <c r="A17" s="63" t="s">
        <v>371</v>
      </c>
      <c r="B17" s="158">
        <v>1861577.34</v>
      </c>
      <c r="C17" s="158">
        <v>201803.51999999999</v>
      </c>
      <c r="D17" s="159">
        <f t="shared" si="2"/>
        <v>2063380.86</v>
      </c>
      <c r="E17" s="158">
        <v>1138219.31</v>
      </c>
      <c r="F17" s="158">
        <v>1138219.31</v>
      </c>
      <c r="G17" s="72">
        <f t="shared" si="3"/>
        <v>925161.55</v>
      </c>
    </row>
    <row r="18" spans="1:7" x14ac:dyDescent="0.25">
      <c r="A18" s="63" t="s">
        <v>372</v>
      </c>
      <c r="B18" s="158">
        <v>2308584.7999999998</v>
      </c>
      <c r="C18" s="158">
        <v>-61627.95</v>
      </c>
      <c r="D18" s="159">
        <f t="shared" si="2"/>
        <v>2246956.8499999996</v>
      </c>
      <c r="E18" s="158">
        <v>824147.1</v>
      </c>
      <c r="F18" s="158">
        <v>824147.1</v>
      </c>
      <c r="G18" s="72">
        <f t="shared" si="3"/>
        <v>1422809.7499999995</v>
      </c>
    </row>
    <row r="19" spans="1:7" ht="14.25" x14ac:dyDescent="0.45">
      <c r="A19" s="53" t="s">
        <v>373</v>
      </c>
      <c r="B19" s="71">
        <f>SUM(B20:B26)</f>
        <v>20483128.359999999</v>
      </c>
      <c r="C19" s="71">
        <f t="shared" ref="C19:F19" si="4">SUM(C20:C26)</f>
        <v>2757421.9099999997</v>
      </c>
      <c r="D19" s="71">
        <f t="shared" si="4"/>
        <v>23240550.27</v>
      </c>
      <c r="E19" s="71">
        <f t="shared" si="4"/>
        <v>11696783.52</v>
      </c>
      <c r="F19" s="71">
        <f t="shared" si="4"/>
        <v>11696783.52</v>
      </c>
      <c r="G19" s="71">
        <f>SUM(G20:G26)</f>
        <v>11543766.749999998</v>
      </c>
    </row>
    <row r="20" spans="1:7" x14ac:dyDescent="0.25">
      <c r="A20" s="63" t="s">
        <v>374</v>
      </c>
      <c r="B20" s="158">
        <v>494324.49</v>
      </c>
      <c r="C20" s="158">
        <v>16486.23</v>
      </c>
      <c r="D20" s="159">
        <f t="shared" ref="D20:D26" si="5">B20+C20</f>
        <v>510810.72</v>
      </c>
      <c r="E20" s="158">
        <v>243584.35</v>
      </c>
      <c r="F20" s="158">
        <v>243584.35</v>
      </c>
      <c r="G20" s="72">
        <f>D20-E20</f>
        <v>267226.37</v>
      </c>
    </row>
    <row r="21" spans="1:7" x14ac:dyDescent="0.25">
      <c r="A21" s="63" t="s">
        <v>375</v>
      </c>
      <c r="B21" s="158">
        <v>16630851.140000001</v>
      </c>
      <c r="C21" s="158">
        <v>2604016.34</v>
      </c>
      <c r="D21" s="159">
        <f t="shared" si="5"/>
        <v>19234867.48</v>
      </c>
      <c r="E21" s="158">
        <v>10136537.65</v>
      </c>
      <c r="F21" s="158">
        <v>10136537.65</v>
      </c>
      <c r="G21" s="72">
        <f t="shared" ref="G21:G26" si="6">D21-E21</f>
        <v>9098329.8300000001</v>
      </c>
    </row>
    <row r="22" spans="1:7" x14ac:dyDescent="0.25">
      <c r="A22" s="63" t="s">
        <v>376</v>
      </c>
      <c r="B22" s="159"/>
      <c r="C22" s="159"/>
      <c r="D22" s="159">
        <f t="shared" si="5"/>
        <v>0</v>
      </c>
      <c r="E22" s="159"/>
      <c r="F22" s="159"/>
      <c r="G22" s="72">
        <f t="shared" si="6"/>
        <v>0</v>
      </c>
    </row>
    <row r="23" spans="1:7" x14ac:dyDescent="0.25">
      <c r="A23" s="63" t="s">
        <v>377</v>
      </c>
      <c r="B23" s="158">
        <v>2002104.35</v>
      </c>
      <c r="C23" s="158">
        <v>137310.92000000001</v>
      </c>
      <c r="D23" s="159">
        <f t="shared" si="5"/>
        <v>2139415.27</v>
      </c>
      <c r="E23" s="158">
        <v>777038.98</v>
      </c>
      <c r="F23" s="158">
        <v>777038.98</v>
      </c>
      <c r="G23" s="72">
        <f t="shared" si="6"/>
        <v>1362376.29</v>
      </c>
    </row>
    <row r="24" spans="1:7" x14ac:dyDescent="0.25">
      <c r="A24" s="63" t="s">
        <v>378</v>
      </c>
      <c r="B24" s="158">
        <v>1355848.38</v>
      </c>
      <c r="C24" s="158">
        <v>-391.58</v>
      </c>
      <c r="D24" s="159">
        <f t="shared" si="5"/>
        <v>1355456.7999999998</v>
      </c>
      <c r="E24" s="158">
        <v>539622.54</v>
      </c>
      <c r="F24" s="158">
        <v>539622.54</v>
      </c>
      <c r="G24" s="72">
        <f t="shared" si="6"/>
        <v>815834.25999999978</v>
      </c>
    </row>
    <row r="25" spans="1:7" x14ac:dyDescent="0.25">
      <c r="A25" s="63" t="s">
        <v>379</v>
      </c>
      <c r="B25" s="159"/>
      <c r="C25" s="159"/>
      <c r="D25" s="159">
        <f t="shared" si="5"/>
        <v>0</v>
      </c>
      <c r="E25" s="159"/>
      <c r="F25" s="159"/>
      <c r="G25" s="72">
        <f t="shared" si="6"/>
        <v>0</v>
      </c>
    </row>
    <row r="26" spans="1:7" x14ac:dyDescent="0.25">
      <c r="A26" s="63" t="s">
        <v>380</v>
      </c>
      <c r="B26" s="159"/>
      <c r="C26" s="159"/>
      <c r="D26" s="159">
        <f t="shared" si="5"/>
        <v>0</v>
      </c>
      <c r="E26" s="159"/>
      <c r="F26" s="159"/>
      <c r="G26" s="72">
        <f t="shared" si="6"/>
        <v>0</v>
      </c>
    </row>
    <row r="27" spans="1:7" x14ac:dyDescent="0.25">
      <c r="A27" s="53" t="s">
        <v>381</v>
      </c>
      <c r="B27" s="71">
        <f>SUM(B28:B36)</f>
        <v>448655.64</v>
      </c>
      <c r="C27" s="71">
        <f t="shared" ref="C27:F27" si="7">SUM(C28:C36)</f>
        <v>22992.85</v>
      </c>
      <c r="D27" s="71">
        <f t="shared" si="7"/>
        <v>471648.49</v>
      </c>
      <c r="E27" s="71">
        <f t="shared" si="7"/>
        <v>243758.07</v>
      </c>
      <c r="F27" s="71">
        <f t="shared" si="7"/>
        <v>243758.07</v>
      </c>
      <c r="G27" s="71">
        <f>SUM(G28:G36)</f>
        <v>227890.41999999998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8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8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8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8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8"/>
        <v>0</v>
      </c>
    </row>
    <row r="34" spans="1:7" x14ac:dyDescent="0.25">
      <c r="A34" s="63" t="s">
        <v>388</v>
      </c>
      <c r="B34" s="158">
        <v>448655.64</v>
      </c>
      <c r="C34" s="158">
        <v>22992.85</v>
      </c>
      <c r="D34" s="159">
        <f t="shared" ref="D34" si="9">B34+C34</f>
        <v>471648.49</v>
      </c>
      <c r="E34" s="158">
        <v>243758.07</v>
      </c>
      <c r="F34" s="158">
        <v>243758.07</v>
      </c>
      <c r="G34" s="72">
        <f t="shared" si="8"/>
        <v>227890.41999999998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8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8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11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11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11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35700000</v>
      </c>
      <c r="C43" s="73">
        <f t="shared" ref="C43:G43" si="12">SUM(C44,C53,C61,C71)</f>
        <v>2971356.08</v>
      </c>
      <c r="D43" s="73">
        <f t="shared" si="12"/>
        <v>38671356.079999998</v>
      </c>
      <c r="E43" s="73">
        <f t="shared" si="12"/>
        <v>6299532.0700000003</v>
      </c>
      <c r="F43" s="73">
        <f t="shared" si="12"/>
        <v>6299532.0700000003</v>
      </c>
      <c r="G43" s="73">
        <f t="shared" si="12"/>
        <v>32371824.010000002</v>
      </c>
    </row>
    <row r="44" spans="1:7" x14ac:dyDescent="0.25">
      <c r="A44" s="53" t="s">
        <v>430</v>
      </c>
      <c r="B44" s="72">
        <f>SUM(B45:B52)</f>
        <v>6481700.7999999998</v>
      </c>
      <c r="C44" s="72">
        <f t="shared" ref="C44:G44" si="13">SUM(C45:C52)</f>
        <v>0</v>
      </c>
      <c r="D44" s="72">
        <f t="shared" si="13"/>
        <v>6481700.7999999998</v>
      </c>
      <c r="E44" s="72">
        <f t="shared" si="13"/>
        <v>2888650.03</v>
      </c>
      <c r="F44" s="72">
        <f t="shared" si="13"/>
        <v>2888650.03</v>
      </c>
      <c r="G44" s="72">
        <f t="shared" si="13"/>
        <v>3593050.77</v>
      </c>
    </row>
    <row r="45" spans="1:7" x14ac:dyDescent="0.25">
      <c r="A45" s="69" t="s">
        <v>365</v>
      </c>
      <c r="B45" s="159"/>
      <c r="C45" s="159"/>
      <c r="D45" s="159">
        <f t="shared" ref="D45:D52" si="14">B45+C45</f>
        <v>0</v>
      </c>
      <c r="E45" s="159"/>
      <c r="F45" s="159"/>
      <c r="G45" s="72">
        <f>D45-E45</f>
        <v>0</v>
      </c>
    </row>
    <row r="46" spans="1:7" x14ac:dyDescent="0.25">
      <c r="A46" s="69" t="s">
        <v>366</v>
      </c>
      <c r="B46" s="159"/>
      <c r="C46" s="159"/>
      <c r="D46" s="159">
        <f t="shared" si="14"/>
        <v>0</v>
      </c>
      <c r="E46" s="159"/>
      <c r="F46" s="159"/>
      <c r="G46" s="72">
        <f t="shared" ref="G46:G52" si="15">D46-E46</f>
        <v>0</v>
      </c>
    </row>
    <row r="47" spans="1:7" x14ac:dyDescent="0.25">
      <c r="A47" s="69" t="s">
        <v>367</v>
      </c>
      <c r="B47" s="159"/>
      <c r="C47" s="159"/>
      <c r="D47" s="159">
        <f t="shared" si="14"/>
        <v>0</v>
      </c>
      <c r="E47" s="159"/>
      <c r="F47" s="159"/>
      <c r="G47" s="72">
        <f t="shared" si="15"/>
        <v>0</v>
      </c>
    </row>
    <row r="48" spans="1:7" x14ac:dyDescent="0.25">
      <c r="A48" s="69" t="s">
        <v>368</v>
      </c>
      <c r="B48" s="159"/>
      <c r="C48" s="159"/>
      <c r="D48" s="159">
        <f t="shared" si="14"/>
        <v>0</v>
      </c>
      <c r="E48" s="159"/>
      <c r="F48" s="159"/>
      <c r="G48" s="72">
        <f t="shared" si="15"/>
        <v>0</v>
      </c>
    </row>
    <row r="49" spans="1:7" x14ac:dyDescent="0.25">
      <c r="A49" s="69" t="s">
        <v>369</v>
      </c>
      <c r="B49" s="159"/>
      <c r="C49" s="159"/>
      <c r="D49" s="159">
        <f t="shared" si="14"/>
        <v>0</v>
      </c>
      <c r="E49" s="159"/>
      <c r="F49" s="159"/>
      <c r="G49" s="72">
        <f t="shared" si="15"/>
        <v>0</v>
      </c>
    </row>
    <row r="50" spans="1:7" x14ac:dyDescent="0.25">
      <c r="A50" s="69" t="s">
        <v>370</v>
      </c>
      <c r="B50" s="159"/>
      <c r="C50" s="159"/>
      <c r="D50" s="159">
        <f t="shared" si="14"/>
        <v>0</v>
      </c>
      <c r="E50" s="159"/>
      <c r="F50" s="159"/>
      <c r="G50" s="72">
        <f t="shared" si="15"/>
        <v>0</v>
      </c>
    </row>
    <row r="51" spans="1:7" x14ac:dyDescent="0.25">
      <c r="A51" s="69" t="s">
        <v>371</v>
      </c>
      <c r="B51" s="158">
        <v>6481700.7999999998</v>
      </c>
      <c r="C51" s="158">
        <v>0</v>
      </c>
      <c r="D51" s="159">
        <f t="shared" si="14"/>
        <v>6481700.7999999998</v>
      </c>
      <c r="E51" s="158">
        <v>2888650.03</v>
      </c>
      <c r="F51" s="158">
        <v>2888650.03</v>
      </c>
      <c r="G51" s="72">
        <f t="shared" si="15"/>
        <v>3593050.77</v>
      </c>
    </row>
    <row r="52" spans="1:7" x14ac:dyDescent="0.25">
      <c r="A52" s="69" t="s">
        <v>372</v>
      </c>
      <c r="B52" s="159"/>
      <c r="C52" s="159"/>
      <c r="D52" s="159">
        <f t="shared" si="14"/>
        <v>0</v>
      </c>
      <c r="E52" s="159"/>
      <c r="F52" s="159"/>
      <c r="G52" s="72">
        <f t="shared" si="15"/>
        <v>0</v>
      </c>
    </row>
    <row r="53" spans="1:7" x14ac:dyDescent="0.25">
      <c r="A53" s="53" t="s">
        <v>373</v>
      </c>
      <c r="B53" s="71">
        <f>SUM(B54:B60)</f>
        <v>29218299.199999999</v>
      </c>
      <c r="C53" s="71">
        <f t="shared" ref="C53:G53" si="16">SUM(C54:C60)</f>
        <v>2971356.08</v>
      </c>
      <c r="D53" s="71">
        <f t="shared" si="16"/>
        <v>32189655.280000001</v>
      </c>
      <c r="E53" s="71">
        <f t="shared" si="16"/>
        <v>3410882.04</v>
      </c>
      <c r="F53" s="71">
        <f t="shared" si="16"/>
        <v>3410882.04</v>
      </c>
      <c r="G53" s="71">
        <f t="shared" si="16"/>
        <v>28778773.240000002</v>
      </c>
    </row>
    <row r="54" spans="1:7" x14ac:dyDescent="0.25">
      <c r="A54" s="69" t="s">
        <v>374</v>
      </c>
      <c r="B54" s="159"/>
      <c r="C54" s="159"/>
      <c r="D54" s="159">
        <f t="shared" ref="D54:D60" si="17">B54+C54</f>
        <v>0</v>
      </c>
      <c r="E54" s="159"/>
      <c r="F54" s="159"/>
      <c r="G54" s="72">
        <f>D54-E54</f>
        <v>0</v>
      </c>
    </row>
    <row r="55" spans="1:7" x14ac:dyDescent="0.25">
      <c r="A55" s="69" t="s">
        <v>375</v>
      </c>
      <c r="B55" s="158">
        <v>29218299.199999999</v>
      </c>
      <c r="C55" s="158">
        <v>2771356.08</v>
      </c>
      <c r="D55" s="159">
        <f t="shared" si="17"/>
        <v>31989655.280000001</v>
      </c>
      <c r="E55" s="158">
        <v>3410882.04</v>
      </c>
      <c r="F55" s="158">
        <v>3410882.04</v>
      </c>
      <c r="G55" s="72">
        <f t="shared" ref="G55:G60" si="18">D55-E55</f>
        <v>28578773.240000002</v>
      </c>
    </row>
    <row r="56" spans="1:7" x14ac:dyDescent="0.25">
      <c r="A56" s="69" t="s">
        <v>376</v>
      </c>
      <c r="B56" s="159"/>
      <c r="C56" s="159"/>
      <c r="D56" s="159">
        <f t="shared" si="17"/>
        <v>0</v>
      </c>
      <c r="E56" s="159"/>
      <c r="F56" s="159"/>
      <c r="G56" s="72">
        <f t="shared" si="18"/>
        <v>0</v>
      </c>
    </row>
    <row r="57" spans="1:7" x14ac:dyDescent="0.25">
      <c r="A57" s="48" t="s">
        <v>377</v>
      </c>
      <c r="B57" s="159"/>
      <c r="C57" s="159"/>
      <c r="D57" s="159">
        <f t="shared" si="17"/>
        <v>0</v>
      </c>
      <c r="E57" s="159"/>
      <c r="F57" s="159"/>
      <c r="G57" s="72">
        <f t="shared" si="18"/>
        <v>0</v>
      </c>
    </row>
    <row r="58" spans="1:7" x14ac:dyDescent="0.25">
      <c r="A58" s="69" t="s">
        <v>378</v>
      </c>
      <c r="B58" s="159"/>
      <c r="C58" s="159"/>
      <c r="D58" s="159">
        <f t="shared" si="17"/>
        <v>0</v>
      </c>
      <c r="E58" s="159"/>
      <c r="F58" s="159"/>
      <c r="G58" s="72">
        <f t="shared" si="18"/>
        <v>0</v>
      </c>
    </row>
    <row r="59" spans="1:7" x14ac:dyDescent="0.25">
      <c r="A59" s="69" t="s">
        <v>379</v>
      </c>
      <c r="B59" s="158">
        <v>0</v>
      </c>
      <c r="C59" s="158">
        <v>200000</v>
      </c>
      <c r="D59" s="159">
        <f t="shared" si="17"/>
        <v>200000</v>
      </c>
      <c r="E59" s="158">
        <v>0</v>
      </c>
      <c r="F59" s="158">
        <v>0</v>
      </c>
      <c r="G59" s="72">
        <f t="shared" si="18"/>
        <v>200000</v>
      </c>
    </row>
    <row r="60" spans="1:7" x14ac:dyDescent="0.25">
      <c r="A60" s="69" t="s">
        <v>380</v>
      </c>
      <c r="B60" s="159"/>
      <c r="C60" s="159"/>
      <c r="D60" s="159">
        <f t="shared" si="17"/>
        <v>0</v>
      </c>
      <c r="E60" s="159"/>
      <c r="F60" s="159"/>
      <c r="G60" s="72">
        <f t="shared" si="18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9">SUM(C62:C70)</f>
        <v>0</v>
      </c>
      <c r="D61" s="71">
        <f t="shared" si="19"/>
        <v>0</v>
      </c>
      <c r="E61" s="71">
        <f t="shared" si="19"/>
        <v>0</v>
      </c>
      <c r="F61" s="71">
        <f t="shared" si="19"/>
        <v>0</v>
      </c>
      <c r="G61" s="71">
        <f t="shared" si="19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20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20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20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20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20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20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20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20"/>
        <v>0</v>
      </c>
    </row>
    <row r="71" spans="1:8" x14ac:dyDescent="0.25">
      <c r="A71" s="64" t="s">
        <v>3300</v>
      </c>
      <c r="B71" s="74">
        <f>SUM(B72:B75)</f>
        <v>0</v>
      </c>
      <c r="C71" s="74">
        <f t="shared" ref="C71:F71" si="21">SUM(C72:C75)</f>
        <v>0</v>
      </c>
      <c r="D71" s="74">
        <f t="shared" si="21"/>
        <v>0</v>
      </c>
      <c r="E71" s="74">
        <f t="shared" si="21"/>
        <v>0</v>
      </c>
      <c r="F71" s="74">
        <f t="shared" si="21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22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22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22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160">
        <f>B9+B43</f>
        <v>88210940</v>
      </c>
      <c r="C77" s="160">
        <f t="shared" ref="C77:F77" si="23">C9+C43</f>
        <v>3723385.3999999994</v>
      </c>
      <c r="D77" s="160">
        <f t="shared" si="23"/>
        <v>91934325.400000006</v>
      </c>
      <c r="E77" s="160">
        <f t="shared" si="23"/>
        <v>32972589.560000002</v>
      </c>
      <c r="F77" s="160">
        <f t="shared" si="23"/>
        <v>32928389.560000002</v>
      </c>
      <c r="G77" s="73">
        <f>G43+G9</f>
        <v>58961735.840000004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52510940</v>
      </c>
      <c r="Q2" s="18">
        <f>'Formato 6 c)'!C9</f>
        <v>752029.31999999948</v>
      </c>
      <c r="R2" s="18">
        <f>'Formato 6 c)'!D9</f>
        <v>53262969.32</v>
      </c>
      <c r="S2" s="18">
        <f>'Formato 6 c)'!E9</f>
        <v>26673057.490000002</v>
      </c>
      <c r="T2" s="18">
        <f>'Formato 6 c)'!F9</f>
        <v>26628857.490000002</v>
      </c>
      <c r="U2" s="18">
        <f>'Formato 6 c)'!G9</f>
        <v>26589911.829999998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31579156</v>
      </c>
      <c r="Q3" s="18">
        <f>'Formato 6 c)'!C10</f>
        <v>-2028385.4400000002</v>
      </c>
      <c r="R3" s="18">
        <f>'Formato 6 c)'!D10</f>
        <v>29550770.560000002</v>
      </c>
      <c r="S3" s="18">
        <f>'Formato 6 c)'!E10</f>
        <v>14732515.9</v>
      </c>
      <c r="T3" s="18">
        <f>'Formato 6 c)'!F10</f>
        <v>14688315.9</v>
      </c>
      <c r="U3" s="18">
        <f>'Formato 6 c)'!G10</f>
        <v>14818254.66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6658180.1799999997</v>
      </c>
      <c r="Q4" s="18">
        <f>'Formato 6 c)'!C11</f>
        <v>-89929.13</v>
      </c>
      <c r="R4" s="18">
        <f>'Formato 6 c)'!D11</f>
        <v>6568251.0499999998</v>
      </c>
      <c r="S4" s="18">
        <f>'Formato 6 c)'!E11</f>
        <v>2935976.11</v>
      </c>
      <c r="T4" s="18">
        <f>'Formato 6 c)'!F11</f>
        <v>2935976.11</v>
      </c>
      <c r="U4" s="18">
        <f>'Formato 6 c)'!G11</f>
        <v>3632274.94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17611185.960000001</v>
      </c>
      <c r="Q6" s="18">
        <f>'Formato 6 c)'!C13</f>
        <v>-2038791.43</v>
      </c>
      <c r="R6" s="18">
        <f>'Formato 6 c)'!D13</f>
        <v>15572394.530000001</v>
      </c>
      <c r="S6" s="18">
        <f>'Formato 6 c)'!E13</f>
        <v>8518943.8200000003</v>
      </c>
      <c r="T6" s="18">
        <f>'Formato 6 c)'!F13</f>
        <v>8474743.8200000003</v>
      </c>
      <c r="U6" s="18">
        <f>'Formato 6 c)'!G13</f>
        <v>7053450.7100000009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3139627.72</v>
      </c>
      <c r="Q8" s="18">
        <f>'Formato 6 c)'!C15</f>
        <v>-39840.449999999997</v>
      </c>
      <c r="R8" s="18">
        <f>'Formato 6 c)'!D15</f>
        <v>3099787.27</v>
      </c>
      <c r="S8" s="18">
        <f>'Formato 6 c)'!E15</f>
        <v>1315229.56</v>
      </c>
      <c r="T8" s="18">
        <f>'Formato 6 c)'!F15</f>
        <v>1315229.56</v>
      </c>
      <c r="U8" s="18">
        <f>'Formato 6 c)'!G15</f>
        <v>1784557.71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1861577.34</v>
      </c>
      <c r="Q10" s="18">
        <f>'Formato 6 c)'!C17</f>
        <v>201803.51999999999</v>
      </c>
      <c r="R10" s="18">
        <f>'Formato 6 c)'!D17</f>
        <v>2063380.86</v>
      </c>
      <c r="S10" s="18">
        <f>'Formato 6 c)'!E17</f>
        <v>1138219.31</v>
      </c>
      <c r="T10" s="18">
        <f>'Formato 6 c)'!F17</f>
        <v>1138219.31</v>
      </c>
      <c r="U10" s="18">
        <f>'Formato 6 c)'!G17</f>
        <v>925161.55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2308584.7999999998</v>
      </c>
      <c r="Q11" s="18">
        <f>'Formato 6 c)'!C18</f>
        <v>-61627.95</v>
      </c>
      <c r="R11" s="18">
        <f>'Formato 6 c)'!D18</f>
        <v>2246956.8499999996</v>
      </c>
      <c r="S11" s="18">
        <f>'Formato 6 c)'!E18</f>
        <v>824147.1</v>
      </c>
      <c r="T11" s="18">
        <f>'Formato 6 c)'!F18</f>
        <v>824147.1</v>
      </c>
      <c r="U11" s="18">
        <f>'Formato 6 c)'!G18</f>
        <v>1422809.7499999995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20483128.359999999</v>
      </c>
      <c r="Q12" s="18">
        <f>'Formato 6 c)'!C19</f>
        <v>2757421.9099999997</v>
      </c>
      <c r="R12" s="18">
        <f>'Formato 6 c)'!D19</f>
        <v>23240550.27</v>
      </c>
      <c r="S12" s="18">
        <f>'Formato 6 c)'!E19</f>
        <v>11696783.52</v>
      </c>
      <c r="T12" s="18">
        <f>'Formato 6 c)'!F19</f>
        <v>11696783.52</v>
      </c>
      <c r="U12" s="18">
        <f>'Formato 6 c)'!G19</f>
        <v>11543766.749999998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494324.49</v>
      </c>
      <c r="Q13" s="18">
        <f>'Formato 6 c)'!C20</f>
        <v>16486.23</v>
      </c>
      <c r="R13" s="18">
        <f>'Formato 6 c)'!D20</f>
        <v>510810.72</v>
      </c>
      <c r="S13" s="18">
        <f>'Formato 6 c)'!E20</f>
        <v>243584.35</v>
      </c>
      <c r="T13" s="18">
        <f>'Formato 6 c)'!F20</f>
        <v>243584.35</v>
      </c>
      <c r="U13" s="18">
        <f>'Formato 6 c)'!G20</f>
        <v>267226.37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16630851.140000001</v>
      </c>
      <c r="Q14" s="18">
        <f>'Formato 6 c)'!C21</f>
        <v>2604016.34</v>
      </c>
      <c r="R14" s="18">
        <f>'Formato 6 c)'!D21</f>
        <v>19234867.48</v>
      </c>
      <c r="S14" s="18">
        <f>'Formato 6 c)'!E21</f>
        <v>10136537.65</v>
      </c>
      <c r="T14" s="18">
        <f>'Formato 6 c)'!F21</f>
        <v>10136537.65</v>
      </c>
      <c r="U14" s="18">
        <f>'Formato 6 c)'!G21</f>
        <v>9098329.8300000001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2002104.35</v>
      </c>
      <c r="Q16" s="18">
        <f>'Formato 6 c)'!C23</f>
        <v>137310.92000000001</v>
      </c>
      <c r="R16" s="18">
        <f>'Formato 6 c)'!D23</f>
        <v>2139415.27</v>
      </c>
      <c r="S16" s="18">
        <f>'Formato 6 c)'!E23</f>
        <v>777038.98</v>
      </c>
      <c r="T16" s="18">
        <f>'Formato 6 c)'!F23</f>
        <v>777038.98</v>
      </c>
      <c r="U16" s="18">
        <f>'Formato 6 c)'!G23</f>
        <v>1362376.29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1355848.38</v>
      </c>
      <c r="Q17" s="18">
        <f>'Formato 6 c)'!C24</f>
        <v>-391.58</v>
      </c>
      <c r="R17" s="18">
        <f>'Formato 6 c)'!D24</f>
        <v>1355456.7999999998</v>
      </c>
      <c r="S17" s="18">
        <f>'Formato 6 c)'!E24</f>
        <v>539622.54</v>
      </c>
      <c r="T17" s="18">
        <f>'Formato 6 c)'!F24</f>
        <v>539622.54</v>
      </c>
      <c r="U17" s="18">
        <f>'Formato 6 c)'!G24</f>
        <v>815834.25999999978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448655.64</v>
      </c>
      <c r="Q20" s="18">
        <f>'Formato 6 c)'!C27</f>
        <v>22992.85</v>
      </c>
      <c r="R20" s="18">
        <f>'Formato 6 c)'!D27</f>
        <v>471648.49</v>
      </c>
      <c r="S20" s="18">
        <f>'Formato 6 c)'!E27</f>
        <v>243758.07</v>
      </c>
      <c r="T20" s="18">
        <f>'Formato 6 c)'!F27</f>
        <v>243758.07</v>
      </c>
      <c r="U20" s="18">
        <f>'Formato 6 c)'!G27</f>
        <v>227890.41999999998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448655.64</v>
      </c>
      <c r="Q27" s="18">
        <f>'Formato 6 c)'!C34</f>
        <v>22992.85</v>
      </c>
      <c r="R27" s="18">
        <f>'Formato 6 c)'!D34</f>
        <v>471648.49</v>
      </c>
      <c r="S27" s="18">
        <f>'Formato 6 c)'!E34</f>
        <v>243758.07</v>
      </c>
      <c r="T27" s="18">
        <f>'Formato 6 c)'!F34</f>
        <v>243758.07</v>
      </c>
      <c r="U27" s="18">
        <f>'Formato 6 c)'!G34</f>
        <v>227890.41999999998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35700000</v>
      </c>
      <c r="Q35" s="18">
        <f>'Formato 6 c)'!C43</f>
        <v>2971356.08</v>
      </c>
      <c r="R35" s="18">
        <f>'Formato 6 c)'!D43</f>
        <v>38671356.079999998</v>
      </c>
      <c r="S35" s="18">
        <f>'Formato 6 c)'!E43</f>
        <v>6299532.0700000003</v>
      </c>
      <c r="T35" s="18">
        <f>'Formato 6 c)'!F43</f>
        <v>6299532.0700000003</v>
      </c>
      <c r="U35" s="18">
        <f>'Formato 6 c)'!G43</f>
        <v>32371824.010000002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6481700.7999999998</v>
      </c>
      <c r="Q36" s="18">
        <f>'Formato 6 c)'!C44</f>
        <v>0</v>
      </c>
      <c r="R36" s="18">
        <f>'Formato 6 c)'!D44</f>
        <v>6481700.7999999998</v>
      </c>
      <c r="S36" s="18">
        <f>'Formato 6 c)'!E44</f>
        <v>2888650.03</v>
      </c>
      <c r="T36" s="18">
        <f>'Formato 6 c)'!F44</f>
        <v>2888650.03</v>
      </c>
      <c r="U36" s="18">
        <f>'Formato 6 c)'!G44</f>
        <v>3593050.77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6481700.7999999998</v>
      </c>
      <c r="Q43" s="18">
        <f>'Formato 6 c)'!C51</f>
        <v>0</v>
      </c>
      <c r="R43" s="18">
        <f>'Formato 6 c)'!D51</f>
        <v>6481700.7999999998</v>
      </c>
      <c r="S43" s="18">
        <f>'Formato 6 c)'!E51</f>
        <v>2888650.03</v>
      </c>
      <c r="T43" s="18">
        <f>'Formato 6 c)'!F51</f>
        <v>2888650.03</v>
      </c>
      <c r="U43" s="18">
        <f>'Formato 6 c)'!G51</f>
        <v>3593050.77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29218299.199999999</v>
      </c>
      <c r="Q45" s="18">
        <f>'Formato 6 c)'!C53</f>
        <v>2971356.08</v>
      </c>
      <c r="R45" s="18">
        <f>'Formato 6 c)'!D53</f>
        <v>32189655.280000001</v>
      </c>
      <c r="S45" s="18">
        <f>'Formato 6 c)'!E53</f>
        <v>3410882.04</v>
      </c>
      <c r="T45" s="18">
        <f>'Formato 6 c)'!F53</f>
        <v>3410882.04</v>
      </c>
      <c r="U45" s="18">
        <f>'Formato 6 c)'!G53</f>
        <v>28778773.240000002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29218299.199999999</v>
      </c>
      <c r="Q47" s="18">
        <f>'Formato 6 c)'!C55</f>
        <v>2771356.08</v>
      </c>
      <c r="R47" s="18">
        <f>'Formato 6 c)'!D55</f>
        <v>31989655.280000001</v>
      </c>
      <c r="S47" s="18">
        <f>'Formato 6 c)'!E55</f>
        <v>3410882.04</v>
      </c>
      <c r="T47" s="18">
        <f>'Formato 6 c)'!F55</f>
        <v>3410882.04</v>
      </c>
      <c r="U47" s="18">
        <f>'Formato 6 c)'!G55</f>
        <v>28578773.240000002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200000</v>
      </c>
      <c r="R51" s="18">
        <f>'Formato 6 c)'!D59</f>
        <v>200000</v>
      </c>
      <c r="S51" s="18">
        <f>'Formato 6 c)'!E59</f>
        <v>0</v>
      </c>
      <c r="T51" s="18">
        <f>'Formato 6 c)'!F59</f>
        <v>0</v>
      </c>
      <c r="U51" s="18">
        <f>'Formato 6 c)'!G59</f>
        <v>200000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88210940</v>
      </c>
      <c r="Q68" s="18">
        <f>'Formato 6 c)'!C77</f>
        <v>3723385.3999999994</v>
      </c>
      <c r="R68" s="18">
        <f>'Formato 6 c)'!D77</f>
        <v>91934325.400000006</v>
      </c>
      <c r="S68" s="18">
        <f>'Formato 6 c)'!E77</f>
        <v>32972589.560000002</v>
      </c>
      <c r="T68" s="18">
        <f>'Formato 6 c)'!F77</f>
        <v>32928389.560000002</v>
      </c>
      <c r="U68" s="18">
        <f>'Formato 6 c)'!G77</f>
        <v>58961735.840000004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ORGANISMO, Gobierno del Estado de Guanajuato</v>
      </c>
    </row>
    <row r="7" spans="2:3" ht="14.25" x14ac:dyDescent="0.45">
      <c r="C7" t="str">
        <f>CONCATENATE(ENTE_PUBLICO," (a)")</f>
        <v>ORGANISMO,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2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abSelected="1" zoomScale="70" zoomScaleNormal="70" workbookViewId="0">
      <selection activeCell="A20" sqref="A20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6" t="s">
        <v>3288</v>
      </c>
      <c r="B1" s="185"/>
      <c r="C1" s="185"/>
      <c r="D1" s="185"/>
      <c r="E1" s="185"/>
      <c r="F1" s="185"/>
      <c r="G1" s="185"/>
    </row>
    <row r="2" spans="1:7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8"/>
      <c r="G2" s="169"/>
    </row>
    <row r="3" spans="1:7" x14ac:dyDescent="0.25">
      <c r="A3" s="173" t="s">
        <v>277</v>
      </c>
      <c r="B3" s="174"/>
      <c r="C3" s="174"/>
      <c r="D3" s="174"/>
      <c r="E3" s="174"/>
      <c r="F3" s="174"/>
      <c r="G3" s="175"/>
    </row>
    <row r="4" spans="1:7" x14ac:dyDescent="0.25">
      <c r="A4" s="173" t="s">
        <v>399</v>
      </c>
      <c r="B4" s="174"/>
      <c r="C4" s="174"/>
      <c r="D4" s="174"/>
      <c r="E4" s="174"/>
      <c r="F4" s="174"/>
      <c r="G4" s="175"/>
    </row>
    <row r="5" spans="1:7" ht="14.25" x14ac:dyDescent="0.45">
      <c r="A5" s="173" t="str">
        <f>TRIMESTRE</f>
        <v>Del 1 de enero al 30 de junio de 2019 (b)</v>
      </c>
      <c r="B5" s="174"/>
      <c r="C5" s="174"/>
      <c r="D5" s="174"/>
      <c r="E5" s="174"/>
      <c r="F5" s="174"/>
      <c r="G5" s="175"/>
    </row>
    <row r="6" spans="1:7" ht="14.25" x14ac:dyDescent="0.45">
      <c r="A6" s="176" t="s">
        <v>118</v>
      </c>
      <c r="B6" s="177"/>
      <c r="C6" s="177"/>
      <c r="D6" s="177"/>
      <c r="E6" s="177"/>
      <c r="F6" s="177"/>
      <c r="G6" s="178"/>
    </row>
    <row r="7" spans="1:7" x14ac:dyDescent="0.25">
      <c r="A7" s="182" t="s">
        <v>361</v>
      </c>
      <c r="B7" s="187" t="s">
        <v>279</v>
      </c>
      <c r="C7" s="187"/>
      <c r="D7" s="187"/>
      <c r="E7" s="187"/>
      <c r="F7" s="187"/>
      <c r="G7" s="187" t="s">
        <v>280</v>
      </c>
    </row>
    <row r="8" spans="1:7" ht="29.25" customHeight="1" x14ac:dyDescent="0.25">
      <c r="A8" s="183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4"/>
    </row>
    <row r="9" spans="1:7" ht="14.25" x14ac:dyDescent="0.45">
      <c r="A9" s="52" t="s">
        <v>400</v>
      </c>
      <c r="B9" s="66">
        <f>SUM(B10,B11,B12,B15,B16,B19)</f>
        <v>27608670.079999998</v>
      </c>
      <c r="C9" s="66">
        <f t="shared" ref="C9:F9" si="0">SUM(C10,C11,C12,C15,C16,C19)</f>
        <v>522605.84</v>
      </c>
      <c r="D9" s="66">
        <f t="shared" si="0"/>
        <v>28131275.919999998</v>
      </c>
      <c r="E9" s="66">
        <f t="shared" si="0"/>
        <v>10631200.449999999</v>
      </c>
      <c r="F9" s="66">
        <f t="shared" si="0"/>
        <v>10631200.449999999</v>
      </c>
      <c r="G9" s="66">
        <f>SUM(G10,G11,G12,G15,G16,G19)</f>
        <v>17500075.469999999</v>
      </c>
    </row>
    <row r="10" spans="1:7" x14ac:dyDescent="0.25">
      <c r="A10" s="53" t="s">
        <v>401</v>
      </c>
      <c r="B10" s="161">
        <v>27608670.079999998</v>
      </c>
      <c r="C10" s="161">
        <v>522605.84</v>
      </c>
      <c r="D10" s="162">
        <f>B10+C10</f>
        <v>28131275.919999998</v>
      </c>
      <c r="E10" s="161">
        <v>10631200.449999999</v>
      </c>
      <c r="F10" s="161">
        <v>10631200.449999999</v>
      </c>
      <c r="G10" s="67">
        <f>D10-E10</f>
        <v>17500075.469999999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/>
      <c r="C12" s="67"/>
      <c r="D12" s="67"/>
      <c r="E12" s="67"/>
      <c r="F12" s="67"/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1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1"/>
        <v>0</v>
      </c>
    </row>
    <row r="16" spans="1:7" x14ac:dyDescent="0.25">
      <c r="A16" s="64" t="s">
        <v>407</v>
      </c>
      <c r="B16" s="67"/>
      <c r="C16" s="67"/>
      <c r="D16" s="67"/>
      <c r="E16" s="67"/>
      <c r="F16" s="67"/>
      <c r="G16" s="67">
        <f t="shared" ref="G16" si="2">G17+G18</f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5588743.2199999997</v>
      </c>
      <c r="C21" s="66">
        <f t="shared" ref="C21:F21" si="3">SUM(C22,C23,C24,C27,C28,C31)</f>
        <v>0</v>
      </c>
      <c r="D21" s="66">
        <f t="shared" si="3"/>
        <v>5588743.2199999997</v>
      </c>
      <c r="E21" s="66">
        <f t="shared" si="3"/>
        <v>2269924.66</v>
      </c>
      <c r="F21" s="66">
        <f t="shared" si="3"/>
        <v>2269924.66</v>
      </c>
      <c r="G21" s="66">
        <f>SUM(G22,G23,G24,G27,G28,G31)</f>
        <v>3318818.5599999996</v>
      </c>
    </row>
    <row r="22" spans="1:7" s="24" customFormat="1" x14ac:dyDescent="0.25">
      <c r="A22" s="53" t="s">
        <v>401</v>
      </c>
      <c r="B22" s="161">
        <v>5588743.2199999997</v>
      </c>
      <c r="C22" s="161">
        <v>0</v>
      </c>
      <c r="D22" s="162">
        <f>B22+C22</f>
        <v>5588743.2199999997</v>
      </c>
      <c r="E22" s="161">
        <v>2269924.66</v>
      </c>
      <c r="F22" s="161">
        <v>2269924.66</v>
      </c>
      <c r="G22" s="67">
        <f>D22-E22</f>
        <v>3318818.5599999996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/>
      <c r="C24" s="67"/>
      <c r="D24" s="67"/>
      <c r="E24" s="67"/>
      <c r="F24" s="67"/>
      <c r="G24" s="67">
        <f t="shared" ref="G24" si="4">G25+G26</f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5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5"/>
        <v>0</v>
      </c>
    </row>
    <row r="28" spans="1:7" s="24" customFormat="1" x14ac:dyDescent="0.25">
      <c r="A28" s="64" t="s">
        <v>407</v>
      </c>
      <c r="B28" s="67"/>
      <c r="C28" s="67"/>
      <c r="D28" s="67"/>
      <c r="E28" s="67"/>
      <c r="F28" s="67"/>
      <c r="G28" s="67">
        <f t="shared" ref="G28" si="6">G29+G30</f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7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7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33197413.299999997</v>
      </c>
      <c r="C33" s="66">
        <f t="shared" ref="C33:G33" si="8">C21+C9</f>
        <v>522605.84</v>
      </c>
      <c r="D33" s="66">
        <f t="shared" si="8"/>
        <v>33720019.140000001</v>
      </c>
      <c r="E33" s="66">
        <f t="shared" si="8"/>
        <v>12901125.109999999</v>
      </c>
      <c r="F33" s="66">
        <f t="shared" si="8"/>
        <v>12901125.109999999</v>
      </c>
      <c r="G33" s="66">
        <f t="shared" si="8"/>
        <v>20818894.029999997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27608670.079999998</v>
      </c>
      <c r="Q2" s="18">
        <f>'Formato 6 d)'!C9</f>
        <v>522605.84</v>
      </c>
      <c r="R2" s="18">
        <f>'Formato 6 d)'!D9</f>
        <v>28131275.919999998</v>
      </c>
      <c r="S2" s="18">
        <f>'Formato 6 d)'!E9</f>
        <v>10631200.449999999</v>
      </c>
      <c r="T2" s="18">
        <f>'Formato 6 d)'!F9</f>
        <v>10631200.449999999</v>
      </c>
      <c r="U2" s="18">
        <f>'Formato 6 d)'!G9</f>
        <v>17500075.469999999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27608670.079999998</v>
      </c>
      <c r="Q3" s="18">
        <f>'Formato 6 d)'!C10</f>
        <v>522605.84</v>
      </c>
      <c r="R3" s="18">
        <f>'Formato 6 d)'!D10</f>
        <v>28131275.919999998</v>
      </c>
      <c r="S3" s="18">
        <f>'Formato 6 d)'!E10</f>
        <v>10631200.449999999</v>
      </c>
      <c r="T3" s="18">
        <f>'Formato 6 d)'!F10</f>
        <v>10631200.449999999</v>
      </c>
      <c r="U3" s="18">
        <f>'Formato 6 d)'!G10</f>
        <v>17500075.469999999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5588743.2199999997</v>
      </c>
      <c r="Q13" s="18">
        <f>'Formato 6 d)'!C21</f>
        <v>0</v>
      </c>
      <c r="R13" s="18">
        <f>'Formato 6 d)'!D21</f>
        <v>5588743.2199999997</v>
      </c>
      <c r="S13" s="18">
        <f>'Formato 6 d)'!E21</f>
        <v>2269924.66</v>
      </c>
      <c r="T13" s="18">
        <f>'Formato 6 d)'!F21</f>
        <v>2269924.66</v>
      </c>
      <c r="U13" s="18">
        <f>'Formato 6 d)'!G21</f>
        <v>3318818.5599999996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5588743.2199999997</v>
      </c>
      <c r="Q14" s="18">
        <f>'Formato 6 d)'!C22</f>
        <v>0</v>
      </c>
      <c r="R14" s="18">
        <f>'Formato 6 d)'!D22</f>
        <v>5588743.2199999997</v>
      </c>
      <c r="S14" s="18">
        <f>'Formato 6 d)'!E22</f>
        <v>2269924.66</v>
      </c>
      <c r="T14" s="18">
        <f>'Formato 6 d)'!F22</f>
        <v>2269924.66</v>
      </c>
      <c r="U14" s="18">
        <f>'Formato 6 d)'!G22</f>
        <v>3318818.5599999996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33197413.299999997</v>
      </c>
      <c r="Q24" s="18">
        <f>'Formato 6 d)'!C33</f>
        <v>522605.84</v>
      </c>
      <c r="R24" s="18">
        <f>'Formato 6 d)'!D33</f>
        <v>33720019.140000001</v>
      </c>
      <c r="S24" s="18">
        <f>'Formato 6 d)'!E33</f>
        <v>12901125.109999999</v>
      </c>
      <c r="T24" s="18">
        <f>'Formato 6 d)'!F33</f>
        <v>12901125.109999999</v>
      </c>
      <c r="U24" s="18">
        <f>'Formato 6 d)'!G33</f>
        <v>20818894.029999997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5" t="s">
        <v>413</v>
      </c>
      <c r="B1" s="185"/>
      <c r="C1" s="185"/>
      <c r="D1" s="185"/>
      <c r="E1" s="185"/>
      <c r="F1" s="185"/>
      <c r="G1" s="185"/>
    </row>
    <row r="2" spans="1:7" ht="14.25" x14ac:dyDescent="0.45">
      <c r="A2" s="167" t="str">
        <f>ENTIDAD</f>
        <v>Municipio de Tierra Blanca, Gobierno del Estado de Guanajuato</v>
      </c>
      <c r="B2" s="168"/>
      <c r="C2" s="168"/>
      <c r="D2" s="168"/>
      <c r="E2" s="168"/>
      <c r="F2" s="168"/>
      <c r="G2" s="169"/>
    </row>
    <row r="3" spans="1:7" ht="14.25" x14ac:dyDescent="0.45">
      <c r="A3" s="170" t="s">
        <v>414</v>
      </c>
      <c r="B3" s="171"/>
      <c r="C3" s="171"/>
      <c r="D3" s="171"/>
      <c r="E3" s="171"/>
      <c r="F3" s="171"/>
      <c r="G3" s="172"/>
    </row>
    <row r="4" spans="1:7" ht="14.25" x14ac:dyDescent="0.45">
      <c r="A4" s="170" t="s">
        <v>118</v>
      </c>
      <c r="B4" s="171"/>
      <c r="C4" s="171"/>
      <c r="D4" s="171"/>
      <c r="E4" s="171"/>
      <c r="F4" s="171"/>
      <c r="G4" s="172"/>
    </row>
    <row r="5" spans="1:7" ht="14.25" x14ac:dyDescent="0.45">
      <c r="A5" s="170" t="s">
        <v>415</v>
      </c>
      <c r="B5" s="171"/>
      <c r="C5" s="171"/>
      <c r="D5" s="171"/>
      <c r="E5" s="171"/>
      <c r="F5" s="171"/>
      <c r="G5" s="172"/>
    </row>
    <row r="6" spans="1:7" x14ac:dyDescent="0.25">
      <c r="A6" s="182" t="s">
        <v>3289</v>
      </c>
      <c r="B6" s="51">
        <f>ANIO1P</f>
        <v>2020</v>
      </c>
      <c r="C6" s="195" t="str">
        <f>ANIO2P</f>
        <v>2021 (d)</v>
      </c>
      <c r="D6" s="195" t="str">
        <f>ANIO3P</f>
        <v>2022 (d)</v>
      </c>
      <c r="E6" s="195" t="str">
        <f>ANIO4P</f>
        <v>2023 (d)</v>
      </c>
      <c r="F6" s="195" t="str">
        <f>ANIO5P</f>
        <v>2024 (d)</v>
      </c>
      <c r="G6" s="195" t="str">
        <f>ANIO6P</f>
        <v>2025 (d)</v>
      </c>
    </row>
    <row r="7" spans="1:7" ht="48" customHeight="1" x14ac:dyDescent="0.25">
      <c r="A7" s="183"/>
      <c r="B7" s="88" t="s">
        <v>3292</v>
      </c>
      <c r="C7" s="196"/>
      <c r="D7" s="196"/>
      <c r="E7" s="196"/>
      <c r="F7" s="196"/>
      <c r="G7" s="196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5" t="s">
        <v>451</v>
      </c>
      <c r="B1" s="185"/>
      <c r="C1" s="185"/>
      <c r="D1" s="185"/>
      <c r="E1" s="185"/>
      <c r="F1" s="185"/>
      <c r="G1" s="185"/>
    </row>
    <row r="2" spans="1:7" customFormat="1" ht="14.25" x14ac:dyDescent="0.45">
      <c r="A2" s="167" t="str">
        <f>ENTIDAD</f>
        <v>Municipio de Tierra Blanca, Gobierno del Estado de Guanajuato</v>
      </c>
      <c r="B2" s="168"/>
      <c r="C2" s="168"/>
      <c r="D2" s="168"/>
      <c r="E2" s="168"/>
      <c r="F2" s="168"/>
      <c r="G2" s="169"/>
    </row>
    <row r="3" spans="1:7" customFormat="1" ht="14.25" x14ac:dyDescent="0.45">
      <c r="A3" s="170" t="s">
        <v>452</v>
      </c>
      <c r="B3" s="171"/>
      <c r="C3" s="171"/>
      <c r="D3" s="171"/>
      <c r="E3" s="171"/>
      <c r="F3" s="171"/>
      <c r="G3" s="172"/>
    </row>
    <row r="4" spans="1:7" customFormat="1" ht="14.25" x14ac:dyDescent="0.45">
      <c r="A4" s="170" t="s">
        <v>118</v>
      </c>
      <c r="B4" s="171"/>
      <c r="C4" s="171"/>
      <c r="D4" s="171"/>
      <c r="E4" s="171"/>
      <c r="F4" s="171"/>
      <c r="G4" s="172"/>
    </row>
    <row r="5" spans="1:7" customFormat="1" ht="14.25" x14ac:dyDescent="0.45">
      <c r="A5" s="170" t="s">
        <v>415</v>
      </c>
      <c r="B5" s="171"/>
      <c r="C5" s="171"/>
      <c r="D5" s="171"/>
      <c r="E5" s="171"/>
      <c r="F5" s="171"/>
      <c r="G5" s="172"/>
    </row>
    <row r="6" spans="1:7" customFormat="1" x14ac:dyDescent="0.25">
      <c r="A6" s="197" t="s">
        <v>3142</v>
      </c>
      <c r="B6" s="51">
        <f>ANIO1P</f>
        <v>2020</v>
      </c>
      <c r="C6" s="195" t="str">
        <f>ANIO2P</f>
        <v>2021 (d)</v>
      </c>
      <c r="D6" s="195" t="str">
        <f>ANIO3P</f>
        <v>2022 (d)</v>
      </c>
      <c r="E6" s="195" t="str">
        <f>ANIO4P</f>
        <v>2023 (d)</v>
      </c>
      <c r="F6" s="195" t="str">
        <f>ANIO5P</f>
        <v>2024 (d)</v>
      </c>
      <c r="G6" s="195" t="str">
        <f>ANIO6P</f>
        <v>2025 (d)</v>
      </c>
    </row>
    <row r="7" spans="1:7" customFormat="1" ht="48" customHeight="1" x14ac:dyDescent="0.25">
      <c r="A7" s="198"/>
      <c r="B7" s="88" t="s">
        <v>3292</v>
      </c>
      <c r="C7" s="196"/>
      <c r="D7" s="196"/>
      <c r="E7" s="196"/>
      <c r="F7" s="196"/>
      <c r="G7" s="196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5" t="s">
        <v>466</v>
      </c>
      <c r="B1" s="185"/>
      <c r="C1" s="185"/>
      <c r="D1" s="185"/>
      <c r="E1" s="185"/>
      <c r="F1" s="185"/>
      <c r="G1" s="185"/>
    </row>
    <row r="2" spans="1:7" ht="14.25" x14ac:dyDescent="0.45">
      <c r="A2" s="167" t="str">
        <f>ENTIDAD</f>
        <v>Municipio de Tierra Blanca, Gobierno del Estado de Guanajuato</v>
      </c>
      <c r="B2" s="168"/>
      <c r="C2" s="168"/>
      <c r="D2" s="168"/>
      <c r="E2" s="168"/>
      <c r="F2" s="168"/>
      <c r="G2" s="169"/>
    </row>
    <row r="3" spans="1:7" ht="14.25" x14ac:dyDescent="0.45">
      <c r="A3" s="170" t="s">
        <v>467</v>
      </c>
      <c r="B3" s="171"/>
      <c r="C3" s="171"/>
      <c r="D3" s="171"/>
      <c r="E3" s="171"/>
      <c r="F3" s="171"/>
      <c r="G3" s="172"/>
    </row>
    <row r="4" spans="1:7" ht="14.25" x14ac:dyDescent="0.4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202" t="s">
        <v>3289</v>
      </c>
      <c r="B5" s="200" t="str">
        <f>ANIO5R</f>
        <v>2014 ¹ (c)</v>
      </c>
      <c r="C5" s="200" t="str">
        <f>ANIO4R</f>
        <v>2015 ¹ (c)</v>
      </c>
      <c r="D5" s="200" t="str">
        <f>ANIO3R</f>
        <v>2016 ¹ (c)</v>
      </c>
      <c r="E5" s="200" t="str">
        <f>ANIO2R</f>
        <v>2017 ¹ (c)</v>
      </c>
      <c r="F5" s="200" t="str">
        <f>ANIO1R</f>
        <v>2018 ¹ (c)</v>
      </c>
      <c r="G5" s="51">
        <f>ANIO_INFORME</f>
        <v>2019</v>
      </c>
    </row>
    <row r="6" spans="1:7" ht="32.1" customHeight="1" x14ac:dyDescent="0.25">
      <c r="A6" s="203"/>
      <c r="B6" s="201"/>
      <c r="C6" s="201"/>
      <c r="D6" s="201"/>
      <c r="E6" s="201"/>
      <c r="F6" s="201"/>
      <c r="G6" s="88" t="s">
        <v>3295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3299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99" t="s">
        <v>3293</v>
      </c>
      <c r="B39" s="199"/>
      <c r="C39" s="199"/>
      <c r="D39" s="199"/>
      <c r="E39" s="199"/>
      <c r="F39" s="199"/>
      <c r="G39" s="199"/>
    </row>
    <row r="40" spans="1:7" ht="15" customHeight="1" x14ac:dyDescent="0.25">
      <c r="A40" s="199" t="s">
        <v>3294</v>
      </c>
      <c r="B40" s="199"/>
      <c r="C40" s="199"/>
      <c r="D40" s="199"/>
      <c r="E40" s="199"/>
      <c r="F40" s="199"/>
      <c r="G40" s="199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5" t="s">
        <v>490</v>
      </c>
      <c r="B1" s="185"/>
      <c r="C1" s="185"/>
      <c r="D1" s="185"/>
      <c r="E1" s="185"/>
      <c r="F1" s="185"/>
      <c r="G1" s="185"/>
    </row>
    <row r="2" spans="1:7" ht="14.25" x14ac:dyDescent="0.45">
      <c r="A2" s="167" t="str">
        <f>ENTIDAD</f>
        <v>Municipio de Tierra Blanca, Gobierno del Estado de Guanajuato</v>
      </c>
      <c r="B2" s="168"/>
      <c r="C2" s="168"/>
      <c r="D2" s="168"/>
      <c r="E2" s="168"/>
      <c r="F2" s="168"/>
      <c r="G2" s="169"/>
    </row>
    <row r="3" spans="1:7" ht="14.25" x14ac:dyDescent="0.45">
      <c r="A3" s="170" t="s">
        <v>491</v>
      </c>
      <c r="B3" s="171"/>
      <c r="C3" s="171"/>
      <c r="D3" s="171"/>
      <c r="E3" s="171"/>
      <c r="F3" s="171"/>
      <c r="G3" s="172"/>
    </row>
    <row r="4" spans="1:7" ht="14.25" x14ac:dyDescent="0.4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204" t="s">
        <v>3142</v>
      </c>
      <c r="B5" s="200" t="str">
        <f>ANIO5R</f>
        <v>2014 ¹ (c)</v>
      </c>
      <c r="C5" s="200" t="str">
        <f>ANIO4R</f>
        <v>2015 ¹ (c)</v>
      </c>
      <c r="D5" s="200" t="str">
        <f>ANIO3R</f>
        <v>2016 ¹ (c)</v>
      </c>
      <c r="E5" s="200" t="str">
        <f>ANIO2R</f>
        <v>2017 ¹ (c)</v>
      </c>
      <c r="F5" s="200" t="str">
        <f>ANIO1R</f>
        <v>2018 ¹ (c)</v>
      </c>
      <c r="G5" s="51">
        <f>ANIO_INFORME</f>
        <v>2019</v>
      </c>
    </row>
    <row r="6" spans="1:7" ht="32.1" customHeight="1" x14ac:dyDescent="0.25">
      <c r="A6" s="205"/>
      <c r="B6" s="201"/>
      <c r="C6" s="201"/>
      <c r="D6" s="201"/>
      <c r="E6" s="201"/>
      <c r="F6" s="201"/>
      <c r="G6" s="88" t="s">
        <v>3296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99" t="s">
        <v>3293</v>
      </c>
      <c r="B32" s="199"/>
      <c r="C32" s="199"/>
      <c r="D32" s="199"/>
      <c r="E32" s="199"/>
      <c r="F32" s="199"/>
      <c r="G32" s="199"/>
    </row>
    <row r="33" spans="1:7" x14ac:dyDescent="0.25">
      <c r="A33" s="199" t="s">
        <v>3294</v>
      </c>
      <c r="B33" s="199"/>
      <c r="C33" s="199"/>
      <c r="D33" s="199"/>
      <c r="E33" s="199"/>
      <c r="F33" s="199"/>
      <c r="G33" s="199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79" t="s">
        <v>495</v>
      </c>
      <c r="B1" s="179"/>
      <c r="C1" s="179"/>
      <c r="D1" s="179"/>
      <c r="E1" s="179"/>
      <c r="F1" s="179"/>
      <c r="G1" s="111"/>
    </row>
    <row r="2" spans="1:7" ht="14.25" x14ac:dyDescent="0.45">
      <c r="A2" s="167" t="str">
        <f>ENTE_PUBLICO</f>
        <v>ORGANISMO, Gobierno del Estado de Guanajuato</v>
      </c>
      <c r="B2" s="168"/>
      <c r="C2" s="168"/>
      <c r="D2" s="168"/>
      <c r="E2" s="168"/>
      <c r="F2" s="169"/>
    </row>
    <row r="3" spans="1:7" ht="14.25" x14ac:dyDescent="0.45">
      <c r="A3" s="176" t="s">
        <v>496</v>
      </c>
      <c r="B3" s="177"/>
      <c r="C3" s="177"/>
      <c r="D3" s="177"/>
      <c r="E3" s="177"/>
      <c r="F3" s="178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28" zoomScale="80" zoomScaleNormal="80" workbookViewId="0">
      <selection activeCell="D37" sqref="D3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79" t="s">
        <v>545</v>
      </c>
      <c r="B1" s="179"/>
      <c r="C1" s="179"/>
      <c r="D1" s="179"/>
      <c r="E1" s="179"/>
      <c r="F1" s="179"/>
    </row>
    <row r="2" spans="1:6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9"/>
    </row>
    <row r="3" spans="1:6" x14ac:dyDescent="0.25">
      <c r="A3" s="170" t="s">
        <v>117</v>
      </c>
      <c r="B3" s="171"/>
      <c r="C3" s="171"/>
      <c r="D3" s="171"/>
      <c r="E3" s="171"/>
      <c r="F3" s="172"/>
    </row>
    <row r="4" spans="1:6" ht="14.25" x14ac:dyDescent="0.45">
      <c r="A4" s="173" t="str">
        <f>PERIODO_INFORME</f>
        <v>Al 31 de diciembre de 2018 y al 30 de junio de 2019 (b)</v>
      </c>
      <c r="B4" s="174"/>
      <c r="C4" s="174"/>
      <c r="D4" s="174"/>
      <c r="E4" s="174"/>
      <c r="F4" s="175"/>
    </row>
    <row r="5" spans="1:6" ht="14.25" x14ac:dyDescent="0.45">
      <c r="A5" s="176" t="s">
        <v>118</v>
      </c>
      <c r="B5" s="177"/>
      <c r="C5" s="177"/>
      <c r="D5" s="177"/>
      <c r="E5" s="177"/>
      <c r="F5" s="178"/>
    </row>
    <row r="6" spans="1:6" s="3" customFormat="1" ht="28.5" x14ac:dyDescent="0.45">
      <c r="A6" s="133" t="s">
        <v>3285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21527491.859999999</v>
      </c>
      <c r="C9" s="60">
        <f>SUM(C10:C16)</f>
        <v>8056615.0299999993</v>
      </c>
      <c r="D9" s="100" t="s">
        <v>54</v>
      </c>
      <c r="E9" s="60">
        <f>SUM(E10:E18)</f>
        <v>3280343.7199999997</v>
      </c>
      <c r="F9" s="60">
        <f>SUM(F10:F18)</f>
        <v>8084673.3300000001</v>
      </c>
    </row>
    <row r="10" spans="1:6" x14ac:dyDescent="0.25">
      <c r="A10" s="96" t="s">
        <v>4</v>
      </c>
      <c r="B10" s="149"/>
      <c r="C10" s="149"/>
      <c r="D10" s="101" t="s">
        <v>55</v>
      </c>
      <c r="E10" s="150">
        <v>48115.72</v>
      </c>
      <c r="F10" s="150">
        <v>156391.12</v>
      </c>
    </row>
    <row r="11" spans="1:6" x14ac:dyDescent="0.25">
      <c r="A11" s="96" t="s">
        <v>5</v>
      </c>
      <c r="B11" s="150">
        <v>20571880.469999999</v>
      </c>
      <c r="C11" s="150">
        <v>5174565.71</v>
      </c>
      <c r="D11" s="101" t="s">
        <v>56</v>
      </c>
      <c r="E11" s="150">
        <v>121804.22</v>
      </c>
      <c r="F11" s="150">
        <v>147374.24</v>
      </c>
    </row>
    <row r="12" spans="1:6" x14ac:dyDescent="0.25">
      <c r="A12" s="96" t="s">
        <v>6</v>
      </c>
      <c r="B12" s="150">
        <v>224576.48</v>
      </c>
      <c r="C12" s="150">
        <v>1719344.59</v>
      </c>
      <c r="D12" s="101" t="s">
        <v>57</v>
      </c>
      <c r="E12" s="150">
        <v>1122827.6499999999</v>
      </c>
      <c r="F12" s="150">
        <v>3353852.7</v>
      </c>
    </row>
    <row r="13" spans="1:6" x14ac:dyDescent="0.25">
      <c r="A13" s="96" t="s">
        <v>7</v>
      </c>
      <c r="B13" s="149"/>
      <c r="C13" s="149"/>
      <c r="D13" s="101" t="s">
        <v>58</v>
      </c>
      <c r="E13" s="149"/>
      <c r="F13" s="149"/>
    </row>
    <row r="14" spans="1:6" x14ac:dyDescent="0.25">
      <c r="A14" s="96" t="s">
        <v>8</v>
      </c>
      <c r="B14" s="150">
        <v>731034.91</v>
      </c>
      <c r="C14" s="150">
        <v>1162704.73</v>
      </c>
      <c r="D14" s="101" t="s">
        <v>59</v>
      </c>
      <c r="E14" s="150">
        <v>2625.01</v>
      </c>
      <c r="F14" s="150">
        <v>1842741.24</v>
      </c>
    </row>
    <row r="15" spans="1:6" x14ac:dyDescent="0.25">
      <c r="A15" s="96" t="s">
        <v>9</v>
      </c>
      <c r="B15" s="149"/>
      <c r="C15" s="149"/>
      <c r="D15" s="101" t="s">
        <v>60</v>
      </c>
      <c r="E15" s="149"/>
      <c r="F15" s="149"/>
    </row>
    <row r="16" spans="1:6" x14ac:dyDescent="0.25">
      <c r="A16" s="96" t="s">
        <v>10</v>
      </c>
      <c r="B16" s="149"/>
      <c r="C16" s="149"/>
      <c r="D16" s="101" t="s">
        <v>61</v>
      </c>
      <c r="E16" s="150">
        <v>254534.53</v>
      </c>
      <c r="F16" s="150">
        <v>674201.54</v>
      </c>
    </row>
    <row r="17" spans="1:6" x14ac:dyDescent="0.25">
      <c r="A17" s="95" t="s">
        <v>11</v>
      </c>
      <c r="B17" s="60">
        <f>SUM(B18:B24)</f>
        <v>37374.669999999984</v>
      </c>
      <c r="C17" s="60">
        <f>SUM(C18:C24)</f>
        <v>800110.6100000001</v>
      </c>
      <c r="D17" s="101" t="s">
        <v>62</v>
      </c>
      <c r="E17" s="149"/>
      <c r="F17" s="149"/>
    </row>
    <row r="18" spans="1:6" x14ac:dyDescent="0.25">
      <c r="A18" s="97" t="s">
        <v>12</v>
      </c>
      <c r="B18" s="149"/>
      <c r="C18" s="149"/>
      <c r="D18" s="101" t="s">
        <v>63</v>
      </c>
      <c r="E18" s="150">
        <v>1730436.59</v>
      </c>
      <c r="F18" s="150">
        <v>1910112.49</v>
      </c>
    </row>
    <row r="19" spans="1:6" x14ac:dyDescent="0.25">
      <c r="A19" s="97" t="s">
        <v>13</v>
      </c>
      <c r="B19" s="150">
        <v>480856.17</v>
      </c>
      <c r="C19" s="150">
        <v>994793.05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50">
        <v>26652.39</v>
      </c>
      <c r="C20" s="150">
        <v>0</v>
      </c>
      <c r="D20" s="101" t="s">
        <v>65</v>
      </c>
      <c r="E20" s="60"/>
      <c r="F20" s="60"/>
    </row>
    <row r="21" spans="1:6" x14ac:dyDescent="0.25">
      <c r="A21" s="97" t="s">
        <v>15</v>
      </c>
      <c r="B21" s="149"/>
      <c r="C21" s="149"/>
      <c r="D21" s="101" t="s">
        <v>66</v>
      </c>
      <c r="E21" s="60"/>
      <c r="F21" s="60"/>
    </row>
    <row r="22" spans="1:6" x14ac:dyDescent="0.25">
      <c r="A22" s="97" t="s">
        <v>16</v>
      </c>
      <c r="B22" s="149"/>
      <c r="C22" s="149"/>
      <c r="D22" s="101" t="s">
        <v>67</v>
      </c>
      <c r="E22" s="60"/>
      <c r="F22" s="60"/>
    </row>
    <row r="23" spans="1:6" x14ac:dyDescent="0.25">
      <c r="A23" s="97" t="s">
        <v>17</v>
      </c>
      <c r="B23" s="149"/>
      <c r="C23" s="149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50">
        <v>-470133.89</v>
      </c>
      <c r="C24" s="150">
        <v>-194682.44</v>
      </c>
      <c r="D24" s="101" t="s">
        <v>69</v>
      </c>
      <c r="E24" s="60"/>
      <c r="F24" s="60"/>
    </row>
    <row r="25" spans="1:6" x14ac:dyDescent="0.25">
      <c r="A25" s="95" t="s">
        <v>19</v>
      </c>
      <c r="B25" s="60">
        <f>SUM(B26:B30)</f>
        <v>761226.1</v>
      </c>
      <c r="C25" s="60">
        <f>SUM(C26:C30)</f>
        <v>1527138.22</v>
      </c>
      <c r="D25" s="101" t="s">
        <v>70</v>
      </c>
      <c r="E25" s="60"/>
      <c r="F25" s="60"/>
    </row>
    <row r="26" spans="1:6" x14ac:dyDescent="0.25">
      <c r="A26" s="97" t="s">
        <v>20</v>
      </c>
      <c r="B26" s="150">
        <v>107800</v>
      </c>
      <c r="C26" s="150">
        <v>107800</v>
      </c>
      <c r="D26" s="100" t="s">
        <v>71</v>
      </c>
      <c r="E26" s="60"/>
      <c r="F26" s="60"/>
    </row>
    <row r="27" spans="1:6" x14ac:dyDescent="0.25">
      <c r="A27" s="97" t="s">
        <v>21</v>
      </c>
      <c r="B27" s="149"/>
      <c r="C27" s="149"/>
      <c r="D27" s="100" t="s">
        <v>72</v>
      </c>
      <c r="E27" s="60">
        <f>SUM(E28:E30)</f>
        <v>0</v>
      </c>
      <c r="F27" s="60">
        <f>SUM(F28:F30)</f>
        <v>2500000</v>
      </c>
    </row>
    <row r="28" spans="1:6" x14ac:dyDescent="0.25">
      <c r="A28" s="97" t="s">
        <v>22</v>
      </c>
      <c r="B28" s="149"/>
      <c r="C28" s="149"/>
      <c r="D28" s="101" t="s">
        <v>73</v>
      </c>
      <c r="E28" s="60"/>
      <c r="F28" s="60"/>
    </row>
    <row r="29" spans="1:6" x14ac:dyDescent="0.25">
      <c r="A29" s="97" t="s">
        <v>23</v>
      </c>
      <c r="B29" s="150">
        <v>653426.1</v>
      </c>
      <c r="C29" s="150">
        <v>1419338.22</v>
      </c>
      <c r="D29" s="101" t="s">
        <v>74</v>
      </c>
      <c r="E29" s="60"/>
      <c r="F29" s="60"/>
    </row>
    <row r="30" spans="1:6" x14ac:dyDescent="0.25">
      <c r="A30" s="97" t="s">
        <v>24</v>
      </c>
      <c r="B30" s="149"/>
      <c r="C30" s="149"/>
      <c r="D30" s="101" t="s">
        <v>75</v>
      </c>
      <c r="E30" s="60"/>
      <c r="F30" s="150">
        <v>2500000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50">
        <v>17550</v>
      </c>
      <c r="C37" s="150">
        <v>17550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1">
        <f>B9+B17+B25+B31+B38+B41+B37</f>
        <v>22343642.630000003</v>
      </c>
      <c r="C47" s="151">
        <f>C9+C17+C25+C31+C38+C41+C37</f>
        <v>10401413.859999999</v>
      </c>
      <c r="D47" s="99" t="s">
        <v>91</v>
      </c>
      <c r="E47" s="61">
        <f>E9+E19+E23+E26+E27+E31+E38+E42</f>
        <v>3280343.7199999997</v>
      </c>
      <c r="F47" s="61">
        <f>F9+F19+F23+F26+F27+F31+F38+F42</f>
        <v>10584673.33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50">
        <v>0</v>
      </c>
      <c r="C50" s="150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150">
        <v>18236.63</v>
      </c>
      <c r="C51" s="150">
        <v>18236.63</v>
      </c>
      <c r="D51" s="100" t="s">
        <v>94</v>
      </c>
      <c r="E51" s="60"/>
      <c r="F51" s="60"/>
    </row>
    <row r="52" spans="1:6" x14ac:dyDescent="0.25">
      <c r="A52" s="95" t="s">
        <v>43</v>
      </c>
      <c r="B52" s="150">
        <v>283109017.06</v>
      </c>
      <c r="C52" s="150">
        <v>281922345.44</v>
      </c>
      <c r="D52" s="100" t="s">
        <v>95</v>
      </c>
      <c r="E52" s="150">
        <v>186050</v>
      </c>
      <c r="F52" s="150">
        <v>186050</v>
      </c>
    </row>
    <row r="53" spans="1:6" x14ac:dyDescent="0.25">
      <c r="A53" s="95" t="s">
        <v>44</v>
      </c>
      <c r="B53" s="150">
        <v>19914392.210000001</v>
      </c>
      <c r="C53" s="150">
        <v>19703233.620000001</v>
      </c>
      <c r="D53" s="100" t="s">
        <v>96</v>
      </c>
      <c r="E53" s="150">
        <v>0</v>
      </c>
      <c r="F53" s="150">
        <v>0</v>
      </c>
    </row>
    <row r="54" spans="1:6" x14ac:dyDescent="0.25">
      <c r="A54" s="95" t="s">
        <v>45</v>
      </c>
      <c r="B54" s="150">
        <v>387224.3</v>
      </c>
      <c r="C54" s="150">
        <v>387224.3</v>
      </c>
      <c r="D54" s="100" t="s">
        <v>97</v>
      </c>
      <c r="E54" s="150">
        <v>-32990.559999999998</v>
      </c>
      <c r="F54" s="150">
        <v>-32990.559999999998</v>
      </c>
    </row>
    <row r="55" spans="1:6" x14ac:dyDescent="0.25">
      <c r="A55" s="95" t="s">
        <v>46</v>
      </c>
      <c r="B55" s="150">
        <v>-7270784.0099999998</v>
      </c>
      <c r="C55" s="150">
        <v>-7270784.0099999998</v>
      </c>
      <c r="D55" s="37" t="s">
        <v>98</v>
      </c>
      <c r="E55" s="60"/>
      <c r="F55" s="60"/>
    </row>
    <row r="56" spans="1:6" x14ac:dyDescent="0.25">
      <c r="A56" s="95" t="s">
        <v>47</v>
      </c>
      <c r="B56" s="150">
        <v>11884332.1</v>
      </c>
      <c r="C56" s="150">
        <v>11832712.1</v>
      </c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153059.44</v>
      </c>
      <c r="F57" s="61">
        <f>SUM(F50:F55)</f>
        <v>153059.44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3433403.1599999997</v>
      </c>
      <c r="F59" s="61">
        <f>F47+F57</f>
        <v>10737732.77</v>
      </c>
    </row>
    <row r="60" spans="1:6" x14ac:dyDescent="0.25">
      <c r="A60" s="55" t="s">
        <v>50</v>
      </c>
      <c r="B60" s="61">
        <f>SUM(B50:B58)</f>
        <v>308042418.29000002</v>
      </c>
      <c r="C60" s="61">
        <f>SUM(C50:C58)</f>
        <v>306592968.08000004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330386060.92000002</v>
      </c>
      <c r="C62" s="61">
        <f>SUM(C47+C60)</f>
        <v>316994381.94000006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18663052.469999999</v>
      </c>
      <c r="F63" s="77">
        <f>SUM(F64:F66)</f>
        <v>18663052.469999999</v>
      </c>
    </row>
    <row r="64" spans="1:6" x14ac:dyDescent="0.25">
      <c r="A64" s="54"/>
      <c r="B64" s="54"/>
      <c r="C64" s="54"/>
      <c r="D64" s="103" t="s">
        <v>103</v>
      </c>
      <c r="E64" s="150">
        <v>18583052.469999999</v>
      </c>
      <c r="F64" s="150">
        <v>18583052.469999999</v>
      </c>
    </row>
    <row r="65" spans="1:6" x14ac:dyDescent="0.25">
      <c r="A65" s="54"/>
      <c r="B65" s="54"/>
      <c r="C65" s="54"/>
      <c r="D65" s="41" t="s">
        <v>104</v>
      </c>
      <c r="E65" s="150">
        <v>80000</v>
      </c>
      <c r="F65" s="150">
        <v>80000</v>
      </c>
    </row>
    <row r="66" spans="1:6" x14ac:dyDescent="0.25">
      <c r="A66" s="54"/>
      <c r="B66" s="54"/>
      <c r="C66" s="54"/>
      <c r="D66" s="103" t="s">
        <v>105</v>
      </c>
      <c r="E66" s="150">
        <v>0</v>
      </c>
      <c r="F66" s="150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308289605.29000002</v>
      </c>
      <c r="F68" s="77">
        <f>SUM(F69:F73)</f>
        <v>287593596.69999999</v>
      </c>
    </row>
    <row r="69" spans="1:6" x14ac:dyDescent="0.25">
      <c r="A69" s="12"/>
      <c r="B69" s="54"/>
      <c r="C69" s="54"/>
      <c r="D69" s="103" t="s">
        <v>107</v>
      </c>
      <c r="E69" s="150">
        <v>20705199.32</v>
      </c>
      <c r="F69" s="150">
        <v>24070929.940000001</v>
      </c>
    </row>
    <row r="70" spans="1:6" x14ac:dyDescent="0.25">
      <c r="A70" s="12"/>
      <c r="B70" s="54"/>
      <c r="C70" s="54"/>
      <c r="D70" s="103" t="s">
        <v>108</v>
      </c>
      <c r="E70" s="150">
        <v>287584405.97000003</v>
      </c>
      <c r="F70" s="150">
        <v>263522666.75999999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326952657.75999999</v>
      </c>
      <c r="F79" s="61">
        <f>F63+F68+F75</f>
        <v>306256649.16999996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330386060.92000002</v>
      </c>
      <c r="F81" s="61">
        <f>F59+F79</f>
        <v>316994381.93999994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21527491.859999999</v>
      </c>
      <c r="Q4" s="18">
        <f>'Formato 1'!C9</f>
        <v>8056615.0299999993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20571880.469999999</v>
      </c>
      <c r="Q6" s="18">
        <f>'Formato 1'!C11</f>
        <v>5174565.71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224576.48</v>
      </c>
      <c r="Q7" s="18">
        <f>'Formato 1'!C12</f>
        <v>1719344.59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731034.91</v>
      </c>
      <c r="Q9" s="18">
        <f>'Formato 1'!C14</f>
        <v>1162704.73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37374.669999999984</v>
      </c>
      <c r="Q12" s="18">
        <f>'Formato 1'!C17</f>
        <v>800110.6100000001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480856.17</v>
      </c>
      <c r="Q14" s="18">
        <f>'Formato 1'!C19</f>
        <v>994793.05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26652.39</v>
      </c>
      <c r="Q15" s="18">
        <f>'Formato 1'!C20</f>
        <v>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-470133.89</v>
      </c>
      <c r="Q19" s="18">
        <f>'Formato 1'!C24</f>
        <v>-194682.44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761226.1</v>
      </c>
      <c r="Q20" s="18">
        <f>'Formato 1'!C25</f>
        <v>1527138.22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653426.1</v>
      </c>
      <c r="Q24" s="18">
        <f>'Formato 1'!C29</f>
        <v>1419338.22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22343642.630000003</v>
      </c>
      <c r="Q42" s="18">
        <f>'Formato 1'!C47</f>
        <v>10401413.859999999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283109017.06</v>
      </c>
      <c r="Q46">
        <f>'Formato 1'!C52</f>
        <v>281922345.44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19914392.210000001</v>
      </c>
      <c r="Q47">
        <f>'Formato 1'!C53</f>
        <v>19703233.620000001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-7270784.0099999998</v>
      </c>
      <c r="Q49">
        <f>'Formato 1'!C55</f>
        <v>-7270784.0099999998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11884332.1</v>
      </c>
      <c r="Q50">
        <f>'Formato 1'!C56</f>
        <v>11832712.1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308042418.29000002</v>
      </c>
      <c r="Q53">
        <f>'Formato 1'!C60</f>
        <v>306592968.08000004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330386060.92000002</v>
      </c>
      <c r="Q54">
        <f>'Formato 1'!C62</f>
        <v>316994381.94000006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3280343.7199999997</v>
      </c>
      <c r="Q57">
        <f>'Formato 1'!F9</f>
        <v>8084673.3300000001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48115.72</v>
      </c>
      <c r="Q58">
        <f>'Formato 1'!F10</f>
        <v>156391.12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121804.22</v>
      </c>
      <c r="Q59">
        <f>'Formato 1'!F11</f>
        <v>147374.24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1122827.6499999999</v>
      </c>
      <c r="Q60">
        <f>'Formato 1'!F12</f>
        <v>3353852.7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2625.01</v>
      </c>
      <c r="Q62">
        <f>'Formato 1'!F14</f>
        <v>1842741.24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254534.53</v>
      </c>
      <c r="Q64">
        <f>'Formato 1'!F16</f>
        <v>674201.54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1730436.59</v>
      </c>
      <c r="Q66">
        <f>'Formato 1'!F18</f>
        <v>1910112.49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2500000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2500000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3280343.7199999997</v>
      </c>
      <c r="Q95">
        <f>'Formato 1'!F47</f>
        <v>10584673.33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-32990.559999999998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153059.44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3433403.1599999997</v>
      </c>
      <c r="Q104">
        <f>'Formato 1'!F59</f>
        <v>10737732.77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18663052.469999999</v>
      </c>
      <c r="Q106">
        <f>'Formato 1'!F63</f>
        <v>18663052.469999999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80000</v>
      </c>
      <c r="Q108">
        <f>'Formato 1'!F65</f>
        <v>80000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308289605.29000002</v>
      </c>
      <c r="Q110">
        <f>'Formato 1'!F68</f>
        <v>287593596.69999999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20705199.32</v>
      </c>
      <c r="Q111">
        <f>'Formato 1'!F69</f>
        <v>24070929.940000001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287584405.97000003</v>
      </c>
      <c r="Q112">
        <f>'Formato 1'!F70</f>
        <v>263522666.75999999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326952657.75999999</v>
      </c>
      <c r="Q119">
        <f>'Formato 1'!F79</f>
        <v>306256649.16999996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330386060.92000002</v>
      </c>
      <c r="Q120">
        <f>'Formato 1'!F81</f>
        <v>316994381.93999994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80" zoomScaleNormal="80" workbookViewId="0">
      <selection activeCell="E16" sqref="E16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1" t="s">
        <v>544</v>
      </c>
      <c r="B1" s="181"/>
      <c r="C1" s="181"/>
      <c r="D1" s="181"/>
      <c r="E1" s="181"/>
      <c r="F1" s="181"/>
      <c r="G1" s="181"/>
      <c r="H1" s="181"/>
    </row>
    <row r="2" spans="1:9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8"/>
      <c r="G2" s="168"/>
      <c r="H2" s="169"/>
    </row>
    <row r="3" spans="1:9" x14ac:dyDescent="0.25">
      <c r="A3" s="170" t="s">
        <v>120</v>
      </c>
      <c r="B3" s="171"/>
      <c r="C3" s="171"/>
      <c r="D3" s="171"/>
      <c r="E3" s="171"/>
      <c r="F3" s="171"/>
      <c r="G3" s="171"/>
      <c r="H3" s="172"/>
    </row>
    <row r="4" spans="1:9" ht="14.25" x14ac:dyDescent="0.45">
      <c r="A4" s="173" t="str">
        <f>PERIODO_INFORME</f>
        <v>Al 31 de diciembre de 2018 y al 30 de junio de 2019 (b)</v>
      </c>
      <c r="B4" s="174"/>
      <c r="C4" s="174"/>
      <c r="D4" s="174"/>
      <c r="E4" s="174"/>
      <c r="F4" s="174"/>
      <c r="G4" s="174"/>
      <c r="H4" s="175"/>
    </row>
    <row r="5" spans="1:9" ht="14.25" x14ac:dyDescent="0.45">
      <c r="A5" s="176" t="s">
        <v>118</v>
      </c>
      <c r="B5" s="177"/>
      <c r="C5" s="177"/>
      <c r="D5" s="177"/>
      <c r="E5" s="177"/>
      <c r="F5" s="177"/>
      <c r="G5" s="177"/>
      <c r="H5" s="178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186050</v>
      </c>
      <c r="C8" s="61">
        <f t="shared" ref="C8:H8" si="0">C9+C13</f>
        <v>186050</v>
      </c>
      <c r="D8" s="61">
        <f t="shared" si="0"/>
        <v>0</v>
      </c>
      <c r="E8" s="61">
        <f t="shared" si="0"/>
        <v>0</v>
      </c>
      <c r="F8" s="61">
        <f t="shared" si="0"/>
        <v>372100</v>
      </c>
      <c r="G8" s="61">
        <f t="shared" si="0"/>
        <v>0</v>
      </c>
      <c r="H8" s="61">
        <f t="shared" si="0"/>
        <v>6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3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>
        <v>1</v>
      </c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>
        <v>1</v>
      </c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>
        <v>1</v>
      </c>
    </row>
    <row r="13" spans="1:9" ht="14.25" x14ac:dyDescent="0.45">
      <c r="A13" s="107" t="s">
        <v>132</v>
      </c>
      <c r="B13" s="60">
        <f>SUM(B14:B16)</f>
        <v>186050</v>
      </c>
      <c r="C13" s="60">
        <f t="shared" ref="C13:H13" si="2">SUM(C14:C16)</f>
        <v>186050</v>
      </c>
      <c r="D13" s="60">
        <f t="shared" si="2"/>
        <v>0</v>
      </c>
      <c r="E13" s="60">
        <f t="shared" si="2"/>
        <v>0</v>
      </c>
      <c r="F13" s="60">
        <f t="shared" si="2"/>
        <v>372100</v>
      </c>
      <c r="G13" s="60">
        <f t="shared" si="2"/>
        <v>0</v>
      </c>
      <c r="H13" s="60">
        <f t="shared" si="2"/>
        <v>3</v>
      </c>
    </row>
    <row r="14" spans="1:9" x14ac:dyDescent="0.25">
      <c r="A14" s="108" t="s">
        <v>133</v>
      </c>
      <c r="B14" s="150">
        <v>186050</v>
      </c>
      <c r="C14" s="150">
        <v>186050</v>
      </c>
      <c r="D14" s="149"/>
      <c r="E14" s="149"/>
      <c r="F14" s="149">
        <f>B14+C14-D14+E14</f>
        <v>372100</v>
      </c>
      <c r="G14" s="60"/>
      <c r="H14" s="60">
        <v>1</v>
      </c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>
        <v>1</v>
      </c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>
        <v>1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/>
      <c r="C18" s="132"/>
      <c r="D18" s="132"/>
      <c r="E18" s="132"/>
      <c r="F18" s="61"/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186050</v>
      </c>
      <c r="C20" s="61">
        <f t="shared" ref="C20:H20" si="3">C8+C18</f>
        <v>186050</v>
      </c>
      <c r="D20" s="61">
        <f t="shared" si="3"/>
        <v>0</v>
      </c>
      <c r="E20" s="61">
        <f t="shared" si="3"/>
        <v>0</v>
      </c>
      <c r="F20" s="61">
        <f t="shared" si="3"/>
        <v>372100</v>
      </c>
      <c r="G20" s="61">
        <f t="shared" si="3"/>
        <v>0</v>
      </c>
      <c r="H20" s="61">
        <f t="shared" si="3"/>
        <v>6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3297</v>
      </c>
      <c r="B22" s="61">
        <f>SUM(B23:DEUDA_CONT_FIN_01)</f>
        <v>3</v>
      </c>
      <c r="C22" s="61">
        <f>SUM(C23:DEUDA_CONT_FIN_02)</f>
        <v>3</v>
      </c>
      <c r="D22" s="61">
        <f>SUM(D23:DEUDA_CONT_FIN_03)</f>
        <v>3</v>
      </c>
      <c r="E22" s="61">
        <f>SUM(E23:DEUDA_CONT_FIN_04)</f>
        <v>3</v>
      </c>
      <c r="F22" s="61">
        <f>SUM(F23:DEUDA_CONT_FIN_05)</f>
        <v>3</v>
      </c>
      <c r="G22" s="61">
        <f>SUM(G23:DEUDA_CONT_FIN_06)</f>
        <v>3</v>
      </c>
      <c r="H22" s="61">
        <f>SUM(H23:DEUDA_CONT_FIN_07)</f>
        <v>3</v>
      </c>
    </row>
    <row r="23" spans="1:8" s="24" customFormat="1" x14ac:dyDescent="0.25">
      <c r="A23" s="109" t="s">
        <v>442</v>
      </c>
      <c r="B23" s="60">
        <v>1</v>
      </c>
      <c r="C23" s="60">
        <v>1</v>
      </c>
      <c r="D23" s="60">
        <v>1</v>
      </c>
      <c r="E23" s="60">
        <v>1</v>
      </c>
      <c r="F23" s="60">
        <v>1</v>
      </c>
      <c r="G23" s="60">
        <v>1</v>
      </c>
      <c r="H23" s="60">
        <v>1</v>
      </c>
    </row>
    <row r="24" spans="1:8" s="24" customFormat="1" x14ac:dyDescent="0.25">
      <c r="A24" s="109" t="s">
        <v>443</v>
      </c>
      <c r="B24" s="60">
        <v>1</v>
      </c>
      <c r="C24" s="60">
        <v>1</v>
      </c>
      <c r="D24" s="60">
        <v>1</v>
      </c>
      <c r="E24" s="60">
        <v>1</v>
      </c>
      <c r="F24" s="60">
        <v>1</v>
      </c>
      <c r="G24" s="60">
        <v>1</v>
      </c>
      <c r="H24" s="60">
        <v>1</v>
      </c>
    </row>
    <row r="25" spans="1:8" s="24" customFormat="1" x14ac:dyDescent="0.25">
      <c r="A25" s="109" t="s">
        <v>444</v>
      </c>
      <c r="B25" s="60">
        <v>1</v>
      </c>
      <c r="C25" s="60">
        <v>1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3298</v>
      </c>
      <c r="B27" s="61">
        <f>SUM(B28:VALOR_INS_BCC_FIN_01)</f>
        <v>3</v>
      </c>
      <c r="C27" s="61">
        <f>SUM(C28:VALOR_INS_BCC_FIN_02)</f>
        <v>3</v>
      </c>
      <c r="D27" s="61">
        <f>SUM(D28:VALOR_INS_BCC_FIN_03)</f>
        <v>3</v>
      </c>
      <c r="E27" s="61">
        <f>SUM(E28:VALOR_INS_BCC_FIN_04)</f>
        <v>3</v>
      </c>
      <c r="F27" s="61">
        <f>SUM(F28:VALOR_INS_BCC_FIN_05)</f>
        <v>3</v>
      </c>
      <c r="G27" s="61">
        <f>SUM(G28:VALOR_INS_BCC_FIN_06)</f>
        <v>3</v>
      </c>
      <c r="H27" s="61">
        <f>SUM(H28:VALOR_INS_BCC_FIN_07)</f>
        <v>3</v>
      </c>
    </row>
    <row r="28" spans="1:8" s="24" customFormat="1" x14ac:dyDescent="0.25">
      <c r="A28" s="109" t="s">
        <v>445</v>
      </c>
      <c r="B28" s="60">
        <v>1</v>
      </c>
      <c r="C28" s="60">
        <v>1</v>
      </c>
      <c r="D28" s="60">
        <v>1</v>
      </c>
      <c r="E28" s="60">
        <v>1</v>
      </c>
      <c r="F28" s="60">
        <v>1</v>
      </c>
      <c r="G28" s="60">
        <v>1</v>
      </c>
      <c r="H28" s="60">
        <v>1</v>
      </c>
    </row>
    <row r="29" spans="1:8" s="24" customFormat="1" x14ac:dyDescent="0.25">
      <c r="A29" s="109" t="s">
        <v>446</v>
      </c>
      <c r="B29" s="60">
        <v>1</v>
      </c>
      <c r="C29" s="60">
        <v>1</v>
      </c>
      <c r="D29" s="60">
        <v>1</v>
      </c>
      <c r="E29" s="60">
        <v>1</v>
      </c>
      <c r="F29" s="60">
        <v>1</v>
      </c>
      <c r="G29" s="60">
        <v>1</v>
      </c>
      <c r="H29" s="60">
        <v>1</v>
      </c>
    </row>
    <row r="30" spans="1:8" s="24" customFormat="1" x14ac:dyDescent="0.25">
      <c r="A30" s="109" t="s">
        <v>447</v>
      </c>
      <c r="B30" s="60">
        <v>1</v>
      </c>
      <c r="C30" s="60">
        <v>1</v>
      </c>
      <c r="D30" s="60">
        <v>1</v>
      </c>
      <c r="E30" s="60">
        <v>1</v>
      </c>
      <c r="F30" s="60">
        <v>1</v>
      </c>
      <c r="G30" s="60">
        <v>1</v>
      </c>
      <c r="H30" s="60">
        <v>1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0" t="s">
        <v>3301</v>
      </c>
      <c r="B33" s="180"/>
      <c r="C33" s="180"/>
      <c r="D33" s="180"/>
      <c r="E33" s="180"/>
      <c r="F33" s="180"/>
      <c r="G33" s="180"/>
      <c r="H33" s="180"/>
    </row>
    <row r="34" spans="1:8" ht="12" customHeight="1" x14ac:dyDescent="0.25">
      <c r="A34" s="180"/>
      <c r="B34" s="180"/>
      <c r="C34" s="180"/>
      <c r="D34" s="180"/>
      <c r="E34" s="180"/>
      <c r="F34" s="180"/>
      <c r="G34" s="180"/>
      <c r="H34" s="180"/>
    </row>
    <row r="35" spans="1:8" ht="12" customHeight="1" x14ac:dyDescent="0.25">
      <c r="A35" s="180"/>
      <c r="B35" s="180"/>
      <c r="C35" s="180"/>
      <c r="D35" s="180"/>
      <c r="E35" s="180"/>
      <c r="F35" s="180"/>
      <c r="G35" s="180"/>
      <c r="H35" s="180"/>
    </row>
    <row r="36" spans="1:8" ht="12" customHeight="1" x14ac:dyDescent="0.25">
      <c r="A36" s="180"/>
      <c r="B36" s="180"/>
      <c r="C36" s="180"/>
      <c r="D36" s="180"/>
      <c r="E36" s="180"/>
      <c r="F36" s="180"/>
      <c r="G36" s="180"/>
      <c r="H36" s="180"/>
    </row>
    <row r="37" spans="1:8" ht="12" customHeight="1" x14ac:dyDescent="0.25">
      <c r="A37" s="180"/>
      <c r="B37" s="180"/>
      <c r="C37" s="180"/>
      <c r="D37" s="180"/>
      <c r="E37" s="180"/>
      <c r="F37" s="180"/>
      <c r="G37" s="180"/>
      <c r="H37" s="180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0</v>
      </c>
      <c r="S3" s="18">
        <f>'Formato 2'!E8</f>
        <v>0</v>
      </c>
      <c r="T3" s="18">
        <f>'Formato 2'!F8</f>
        <v>372100</v>
      </c>
      <c r="U3" s="18">
        <f>'Formato 2'!G8</f>
        <v>0</v>
      </c>
      <c r="V3" s="18">
        <f>'Formato 2'!H8</f>
        <v>6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3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1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1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1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3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1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1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1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0</v>
      </c>
      <c r="S13" s="18">
        <f>'Formato 2'!E20</f>
        <v>0</v>
      </c>
      <c r="T13" s="18">
        <f>'Formato 2'!F20</f>
        <v>372100</v>
      </c>
      <c r="U13" s="18">
        <f>'Formato 2'!G20</f>
        <v>0</v>
      </c>
      <c r="V13" s="18">
        <f>'Formato 2'!H20</f>
        <v>6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3</v>
      </c>
      <c r="Q14">
        <f>DEUDA_CONT_T2</f>
        <v>3</v>
      </c>
      <c r="R14">
        <f>DEUDA_CONT_T3</f>
        <v>3</v>
      </c>
      <c r="S14">
        <f>DEUDA_CONT_T4</f>
        <v>3</v>
      </c>
      <c r="T14">
        <f>DEUDA_CONT_T4</f>
        <v>3</v>
      </c>
      <c r="U14">
        <f>DEUDA_CONT_T6</f>
        <v>3</v>
      </c>
      <c r="V14">
        <f>DEUDA_CONT_T7</f>
        <v>3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3</v>
      </c>
      <c r="Q15">
        <f>VALOR_INS_BCC_T2</f>
        <v>3</v>
      </c>
      <c r="R15">
        <f>VALOR_INS_BCC_T3</f>
        <v>3</v>
      </c>
      <c r="S15">
        <f>VALOR_INS_BCC_T4</f>
        <v>3</v>
      </c>
      <c r="T15">
        <f>VALOR_INS_BCC_T5</f>
        <v>3</v>
      </c>
      <c r="U15">
        <f>VALOR_INS_BCC_T6</f>
        <v>3</v>
      </c>
      <c r="V15">
        <f>VALOR_INS_BCC_T7</f>
        <v>3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79" t="s">
        <v>543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11"/>
    </row>
    <row r="2" spans="1:12" ht="14.25" x14ac:dyDescent="0.45">
      <c r="A2" s="167" t="str">
        <f>ENTE_PUBLICO_A</f>
        <v>ORGANISMO, Gobierno del Estado de Guanajuato (a)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2" x14ac:dyDescent="0.25">
      <c r="A3" s="170" t="s">
        <v>146</v>
      </c>
      <c r="B3" s="171"/>
      <c r="C3" s="171"/>
      <c r="D3" s="171"/>
      <c r="E3" s="171"/>
      <c r="F3" s="171"/>
      <c r="G3" s="171"/>
      <c r="H3" s="171"/>
      <c r="I3" s="171"/>
      <c r="J3" s="171"/>
      <c r="K3" s="172"/>
    </row>
    <row r="4" spans="1:12" ht="14.25" x14ac:dyDescent="0.45">
      <c r="A4" s="173" t="str">
        <f>TRIMESTRE</f>
        <v>Del 1 de enero al 30 de junio de 2019 (b)</v>
      </c>
      <c r="B4" s="174"/>
      <c r="C4" s="174"/>
      <c r="D4" s="174"/>
      <c r="E4" s="174"/>
      <c r="F4" s="174"/>
      <c r="G4" s="174"/>
      <c r="H4" s="174"/>
      <c r="I4" s="174"/>
      <c r="J4" s="174"/>
      <c r="K4" s="175"/>
    </row>
    <row r="5" spans="1:12" ht="14.25" x14ac:dyDescent="0.45">
      <c r="A5" s="170" t="s">
        <v>118</v>
      </c>
      <c r="B5" s="171"/>
      <c r="C5" s="171"/>
      <c r="D5" s="171"/>
      <c r="E5" s="171"/>
      <c r="F5" s="171"/>
      <c r="G5" s="171"/>
      <c r="H5" s="171"/>
      <c r="I5" s="171"/>
      <c r="J5" s="171"/>
      <c r="K5" s="172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2019 (k)</v>
      </c>
      <c r="J6" s="131" t="str">
        <f>MONTO2</f>
        <v>Monto pagado de la inversión actualizado al 30 de junio de 2019 (l)</v>
      </c>
      <c r="K6" s="131" t="str">
        <f>SALDO_PENDIENTE</f>
        <v>Saldo pendiente por pagar de la inversión al 30 de junio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4</v>
      </c>
      <c r="F8" s="129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1</v>
      </c>
      <c r="F9" s="60">
        <v>80</v>
      </c>
      <c r="G9" s="60">
        <v>1</v>
      </c>
      <c r="H9" s="60">
        <v>1</v>
      </c>
      <c r="I9" s="60">
        <v>1</v>
      </c>
      <c r="J9" s="60">
        <v>1</v>
      </c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1</v>
      </c>
      <c r="F10" s="60">
        <v>70</v>
      </c>
      <c r="G10" s="60">
        <v>1</v>
      </c>
      <c r="H10" s="60">
        <v>1</v>
      </c>
      <c r="I10" s="60">
        <v>1</v>
      </c>
      <c r="J10" s="60">
        <v>1</v>
      </c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>
        <v>42755</v>
      </c>
      <c r="C11" s="112">
        <v>42755</v>
      </c>
      <c r="D11" s="112">
        <v>42755</v>
      </c>
      <c r="E11" s="60">
        <v>1</v>
      </c>
      <c r="F11" s="60">
        <v>60</v>
      </c>
      <c r="G11" s="60">
        <v>1</v>
      </c>
      <c r="H11" s="60">
        <v>1</v>
      </c>
      <c r="I11" s="60">
        <v>1</v>
      </c>
      <c r="J11" s="60">
        <v>1</v>
      </c>
      <c r="K11" s="60">
        <f t="shared" si="0"/>
        <v>0</v>
      </c>
    </row>
    <row r="12" spans="1:12" s="24" customFormat="1" ht="14.25" x14ac:dyDescent="0.45">
      <c r="A12" s="114" t="s">
        <v>159</v>
      </c>
      <c r="B12" s="112">
        <v>42755</v>
      </c>
      <c r="C12" s="112">
        <v>42755</v>
      </c>
      <c r="D12" s="112">
        <v>42755</v>
      </c>
      <c r="E12" s="60">
        <v>1</v>
      </c>
      <c r="F12" s="60">
        <v>50</v>
      </c>
      <c r="G12" s="60">
        <v>1</v>
      </c>
      <c r="H12" s="60">
        <v>1</v>
      </c>
      <c r="I12" s="60">
        <v>1</v>
      </c>
      <c r="J12" s="60">
        <v>1</v>
      </c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4</v>
      </c>
      <c r="F14" s="129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>
        <v>42755</v>
      </c>
      <c r="C15" s="112">
        <v>42755</v>
      </c>
      <c r="D15" s="112">
        <v>42755</v>
      </c>
      <c r="E15" s="60">
        <v>1</v>
      </c>
      <c r="F15" s="60">
        <v>40</v>
      </c>
      <c r="G15" s="60">
        <v>1</v>
      </c>
      <c r="H15" s="60">
        <v>1</v>
      </c>
      <c r="I15" s="60">
        <v>1</v>
      </c>
      <c r="J15" s="60">
        <v>1</v>
      </c>
      <c r="K15" s="60">
        <f>E15-J15</f>
        <v>0</v>
      </c>
    </row>
    <row r="16" spans="1:12" s="24" customFormat="1" ht="14.25" x14ac:dyDescent="0.45">
      <c r="A16" s="114" t="s">
        <v>162</v>
      </c>
      <c r="B16" s="112">
        <v>42755</v>
      </c>
      <c r="C16" s="112">
        <v>42755</v>
      </c>
      <c r="D16" s="112">
        <v>42755</v>
      </c>
      <c r="E16" s="60">
        <v>1</v>
      </c>
      <c r="F16" s="60">
        <v>30</v>
      </c>
      <c r="G16" s="60">
        <v>1</v>
      </c>
      <c r="H16" s="60">
        <v>1</v>
      </c>
      <c r="I16" s="60">
        <v>1</v>
      </c>
      <c r="J16" s="60">
        <v>1</v>
      </c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>
        <v>42755</v>
      </c>
      <c r="C17" s="112">
        <v>42755</v>
      </c>
      <c r="D17" s="112">
        <v>42755</v>
      </c>
      <c r="E17" s="60">
        <v>1</v>
      </c>
      <c r="F17" s="60">
        <v>20</v>
      </c>
      <c r="G17" s="60">
        <v>1</v>
      </c>
      <c r="H17" s="60">
        <v>1</v>
      </c>
      <c r="I17" s="60">
        <v>1</v>
      </c>
      <c r="J17" s="60">
        <v>1</v>
      </c>
      <c r="K17" s="60">
        <f t="shared" si="1"/>
        <v>0</v>
      </c>
    </row>
    <row r="18" spans="1:11" s="24" customFormat="1" ht="14.25" x14ac:dyDescent="0.45">
      <c r="A18" s="114" t="s">
        <v>164</v>
      </c>
      <c r="B18" s="112">
        <v>42755</v>
      </c>
      <c r="C18" s="112">
        <v>42755</v>
      </c>
      <c r="D18" s="112">
        <v>42755</v>
      </c>
      <c r="E18" s="60">
        <v>1</v>
      </c>
      <c r="F18" s="60">
        <v>10</v>
      </c>
      <c r="G18" s="60">
        <v>1</v>
      </c>
      <c r="H18" s="60">
        <v>1</v>
      </c>
      <c r="I18" s="60">
        <v>1</v>
      </c>
      <c r="J18" s="60">
        <v>1</v>
      </c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8</v>
      </c>
      <c r="F20" s="129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4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4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8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2019-07-24T18:19:56Z</dcterms:modified>
</cp:coreProperties>
</file>